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80" windowHeight="11640"/>
  </bookViews>
  <sheets>
    <sheet name="List" sheetId="1" r:id="rId1"/>
  </sheets>
  <definedNames>
    <definedName name="_xlnm._FilterDatabase" localSheetId="0" hidden="1">List!$A$202:$J$202</definedName>
    <definedName name="_xlnm.Print_Area" localSheetId="0">List!$B$1:$J$277</definedName>
  </definedNames>
  <calcPr calcId="144525"/>
</workbook>
</file>

<file path=xl/calcChain.xml><?xml version="1.0" encoding="utf-8"?>
<calcChain xmlns="http://schemas.openxmlformats.org/spreadsheetml/2006/main">
  <c r="E262" i="1" l="1"/>
  <c r="J131" i="1" l="1"/>
  <c r="J130" i="1"/>
  <c r="J185" i="1" l="1"/>
  <c r="G97" i="1" l="1"/>
  <c r="F96" i="1"/>
  <c r="F264" i="1" l="1"/>
  <c r="F66" i="1" l="1"/>
  <c r="J66" i="1" s="1"/>
  <c r="J67" i="1"/>
  <c r="J65" i="1"/>
  <c r="H163" i="1" l="1"/>
  <c r="H164" i="1" s="1"/>
  <c r="G163" i="1"/>
  <c r="G164" i="1" s="1"/>
  <c r="F163" i="1"/>
  <c r="F164" i="1" s="1"/>
  <c r="E163" i="1"/>
  <c r="E164" i="1" s="1"/>
  <c r="J162" i="1"/>
  <c r="J161" i="1"/>
  <c r="J160" i="1"/>
  <c r="J159" i="1"/>
  <c r="J158" i="1"/>
  <c r="J157" i="1"/>
  <c r="J156" i="1"/>
  <c r="J155" i="1"/>
  <c r="J154" i="1"/>
  <c r="E263" i="1"/>
  <c r="F260" i="1"/>
  <c r="F265" i="1"/>
  <c r="E265" i="1"/>
  <c r="H261" i="1"/>
  <c r="F261" i="1"/>
  <c r="G258" i="1"/>
  <c r="F262" i="1"/>
  <c r="F257" i="1"/>
  <c r="J271" i="1"/>
  <c r="J203" i="1"/>
  <c r="J103" i="1"/>
  <c r="J101" i="1"/>
  <c r="J100" i="1"/>
  <c r="J88" i="1"/>
  <c r="J89" i="1"/>
  <c r="J82" i="1"/>
  <c r="J81" i="1"/>
  <c r="J80" i="1"/>
  <c r="J79" i="1"/>
  <c r="J78" i="1"/>
  <c r="J77" i="1"/>
  <c r="J85" i="1"/>
  <c r="J84" i="1"/>
  <c r="J83" i="1"/>
  <c r="J128" i="1"/>
  <c r="J127" i="1"/>
  <c r="J126" i="1"/>
  <c r="J129" i="1"/>
  <c r="J122" i="1"/>
  <c r="J121" i="1"/>
  <c r="J120" i="1"/>
  <c r="J119" i="1"/>
  <c r="J124" i="1"/>
  <c r="J123" i="1"/>
  <c r="F115" i="1"/>
  <c r="J115" i="1" s="1"/>
  <c r="F114" i="1"/>
  <c r="J114" i="1" s="1"/>
  <c r="J113" i="1"/>
  <c r="J112" i="1"/>
  <c r="J111" i="1"/>
  <c r="F30" i="1"/>
  <c r="J30" i="1" s="1"/>
  <c r="J31" i="1"/>
  <c r="J29" i="1"/>
  <c r="J163" i="1" l="1"/>
  <c r="J164" i="1" s="1"/>
  <c r="J249" i="1"/>
  <c r="J9" i="1"/>
  <c r="F16" i="1"/>
  <c r="J20" i="1"/>
  <c r="J19" i="1"/>
  <c r="J18" i="1"/>
  <c r="J17" i="1"/>
  <c r="F172" i="1"/>
  <c r="J172" i="1" s="1"/>
  <c r="G171" i="1"/>
  <c r="J171" i="1" s="1"/>
  <c r="G170" i="1"/>
  <c r="J170" i="1" s="1"/>
  <c r="F169" i="1"/>
  <c r="J169" i="1" s="1"/>
  <c r="F168" i="1"/>
  <c r="J174" i="1"/>
  <c r="J173" i="1"/>
  <c r="F248" i="1"/>
  <c r="F244" i="1"/>
  <c r="E244" i="1"/>
  <c r="F243" i="1"/>
  <c r="E243" i="1"/>
  <c r="F242" i="1"/>
  <c r="E242" i="1"/>
  <c r="G238" i="1"/>
  <c r="E238" i="1"/>
  <c r="F238" i="1"/>
  <c r="G236" i="1"/>
  <c r="F235" i="1"/>
  <c r="E235" i="1"/>
  <c r="G39" i="1"/>
  <c r="J39" i="1" s="1"/>
  <c r="F55" i="1"/>
  <c r="J55" i="1" s="1"/>
  <c r="F56" i="1"/>
  <c r="J56" i="1" s="1"/>
  <c r="E52" i="1"/>
  <c r="E51" i="1"/>
  <c r="J51" i="1" s="1"/>
  <c r="J57" i="1"/>
  <c r="J54" i="1"/>
  <c r="J53" i="1"/>
  <c r="J50" i="1"/>
  <c r="G191" i="1"/>
  <c r="G190" i="1"/>
  <c r="G189" i="1"/>
  <c r="F188" i="1"/>
  <c r="F187" i="1"/>
  <c r="F184" i="1"/>
  <c r="J41" i="1"/>
  <c r="J224" i="1" l="1"/>
  <c r="J147" i="1"/>
  <c r="J116" i="1" l="1"/>
  <c r="E11" i="1" l="1"/>
  <c r="J132" i="1" l="1"/>
  <c r="G274" i="1" l="1"/>
  <c r="J256" i="1"/>
  <c r="K256" i="1" s="1"/>
  <c r="H274" i="1"/>
  <c r="I274" i="1"/>
  <c r="J98" i="1" l="1"/>
  <c r="J97" i="1"/>
  <c r="J102" i="1"/>
  <c r="J99" i="1"/>
  <c r="F274" i="1" l="1"/>
  <c r="J260" i="1"/>
  <c r="J264" i="1"/>
  <c r="J263" i="1"/>
  <c r="J259" i="1"/>
  <c r="J222" i="1"/>
  <c r="J204" i="1"/>
  <c r="E274" i="1" l="1"/>
  <c r="J205" i="1"/>
  <c r="J145" i="1"/>
  <c r="J144" i="1"/>
  <c r="J188" i="1"/>
  <c r="J187" i="1"/>
  <c r="J186" i="1"/>
  <c r="J184" i="1"/>
  <c r="J68" i="1"/>
  <c r="J69" i="1"/>
  <c r="J21" i="1"/>
  <c r="J118" i="1"/>
  <c r="J117" i="1"/>
  <c r="F226" i="1" l="1"/>
  <c r="G226" i="1"/>
  <c r="H226" i="1"/>
  <c r="I226" i="1"/>
  <c r="E226" i="1"/>
  <c r="J225" i="1"/>
  <c r="E59" i="1"/>
  <c r="E60" i="1" s="1"/>
  <c r="F71" i="1"/>
  <c r="G71" i="1"/>
  <c r="H71" i="1"/>
  <c r="I71" i="1"/>
  <c r="E71" i="1"/>
  <c r="E72" i="1" s="1"/>
  <c r="J70" i="1"/>
  <c r="J207" i="1" l="1"/>
  <c r="J208" i="1"/>
  <c r="F209" i="1"/>
  <c r="G209" i="1"/>
  <c r="H209" i="1"/>
  <c r="E209" i="1"/>
  <c r="J148" i="1" l="1"/>
  <c r="F149" i="1"/>
  <c r="G149" i="1"/>
  <c r="H149" i="1"/>
  <c r="E149" i="1"/>
  <c r="E215" i="1" l="1"/>
  <c r="E198" i="1"/>
  <c r="E194" i="1"/>
  <c r="E177" i="1"/>
  <c r="E251" i="1"/>
  <c r="E134" i="1"/>
  <c r="E105" i="1"/>
  <c r="E91" i="1"/>
  <c r="E44" i="1"/>
  <c r="E33" i="1"/>
  <c r="E23" i="1"/>
  <c r="F11" i="1"/>
  <c r="G11" i="1"/>
  <c r="H11" i="1"/>
  <c r="F23" i="1"/>
  <c r="G23" i="1"/>
  <c r="H23" i="1"/>
  <c r="F33" i="1"/>
  <c r="G33" i="1"/>
  <c r="H33" i="1"/>
  <c r="F44" i="1"/>
  <c r="G44" i="1"/>
  <c r="H44" i="1"/>
  <c r="F59" i="1"/>
  <c r="G59" i="1"/>
  <c r="H59" i="1"/>
  <c r="F91" i="1"/>
  <c r="G91" i="1"/>
  <c r="H91" i="1"/>
  <c r="F105" i="1"/>
  <c r="G105" i="1"/>
  <c r="H105" i="1"/>
  <c r="F134" i="1"/>
  <c r="G134" i="1"/>
  <c r="H134" i="1"/>
  <c r="F251" i="1"/>
  <c r="G251" i="1"/>
  <c r="H251" i="1"/>
  <c r="F177" i="1"/>
  <c r="G177" i="1"/>
  <c r="H177" i="1"/>
  <c r="F194" i="1"/>
  <c r="G194" i="1"/>
  <c r="H194" i="1"/>
  <c r="F198" i="1"/>
  <c r="G198" i="1"/>
  <c r="H198" i="1"/>
  <c r="F215" i="1"/>
  <c r="G215" i="1"/>
  <c r="H215" i="1"/>
  <c r="J146" i="1"/>
  <c r="J142" i="1" l="1"/>
  <c r="J143" i="1"/>
  <c r="J141" i="1"/>
  <c r="J206" i="1" l="1"/>
  <c r="J272" i="1"/>
  <c r="J270" i="1"/>
  <c r="J268" i="1"/>
  <c r="J267" i="1"/>
  <c r="J261" i="1"/>
  <c r="J140" i="1"/>
  <c r="J149" i="1" s="1"/>
  <c r="J212" i="1"/>
  <c r="H199" i="1"/>
  <c r="J193" i="1"/>
  <c r="J192" i="1"/>
  <c r="J190" i="1"/>
  <c r="J189" i="1"/>
  <c r="J183" i="1"/>
  <c r="J182" i="1"/>
  <c r="H195" i="1"/>
  <c r="J176" i="1"/>
  <c r="J175" i="1"/>
  <c r="J168" i="1"/>
  <c r="H178" i="1"/>
  <c r="J250" i="1"/>
  <c r="J248" i="1"/>
  <c r="J247" i="1"/>
  <c r="J246" i="1"/>
  <c r="J245" i="1"/>
  <c r="J244" i="1"/>
  <c r="J243" i="1"/>
  <c r="J242" i="1"/>
  <c r="J240" i="1"/>
  <c r="J239" i="1"/>
  <c r="J238" i="1"/>
  <c r="K238" i="1" s="1"/>
  <c r="J236" i="1"/>
  <c r="J42" i="1"/>
  <c r="J235" i="1"/>
  <c r="J234" i="1"/>
  <c r="J233" i="1"/>
  <c r="J232" i="1"/>
  <c r="J231" i="1"/>
  <c r="H252" i="1"/>
  <c r="J125" i="1"/>
  <c r="J110" i="1"/>
  <c r="H135" i="1"/>
  <c r="J104" i="1"/>
  <c r="J96" i="1"/>
  <c r="H106" i="1"/>
  <c r="J90" i="1"/>
  <c r="J87" i="1"/>
  <c r="J86" i="1"/>
  <c r="J76" i="1"/>
  <c r="H92" i="1"/>
  <c r="J64" i="1"/>
  <c r="J71" i="1" s="1"/>
  <c r="H72" i="1"/>
  <c r="J52" i="1"/>
  <c r="J49" i="1"/>
  <c r="H60" i="1"/>
  <c r="J43" i="1"/>
  <c r="J38" i="1"/>
  <c r="H45" i="1"/>
  <c r="J28" i="1"/>
  <c r="H34" i="1"/>
  <c r="H24" i="1"/>
  <c r="J22" i="1"/>
  <c r="J16" i="1"/>
  <c r="H12" i="1"/>
  <c r="J6" i="1"/>
  <c r="J7" i="1"/>
  <c r="J8" i="1"/>
  <c r="J10" i="1"/>
  <c r="J5" i="1"/>
  <c r="H275" i="1"/>
  <c r="H227" i="1"/>
  <c r="H150" i="1"/>
  <c r="H216" i="1"/>
  <c r="F210" i="1"/>
  <c r="G210" i="1"/>
  <c r="H210" i="1"/>
  <c r="J213" i="1"/>
  <c r="J214" i="1"/>
  <c r="J220" i="1"/>
  <c r="J223" i="1"/>
  <c r="G216" i="1"/>
  <c r="F216" i="1"/>
  <c r="E216" i="1"/>
  <c r="J226" i="1" l="1"/>
  <c r="J227" i="1" s="1"/>
  <c r="J44" i="1"/>
  <c r="J215" i="1"/>
  <c r="J216" i="1" s="1"/>
  <c r="J209" i="1"/>
  <c r="J11" i="1"/>
  <c r="J251" i="1"/>
  <c r="J23" i="1"/>
  <c r="J177" i="1"/>
  <c r="J91" i="1"/>
  <c r="H277" i="1"/>
  <c r="G227" i="1"/>
  <c r="F227" i="1"/>
  <c r="E227" i="1"/>
  <c r="F106" i="1" l="1"/>
  <c r="J105" i="1"/>
  <c r="E210" i="1"/>
  <c r="G199" i="1"/>
  <c r="E199" i="1"/>
  <c r="F12" i="1"/>
  <c r="G12" i="1"/>
  <c r="E12" i="1"/>
  <c r="E106" i="1"/>
  <c r="E92" i="1"/>
  <c r="F92" i="1"/>
  <c r="G92" i="1"/>
  <c r="G135" i="1"/>
  <c r="E135" i="1"/>
  <c r="G45" i="1"/>
  <c r="F45" i="1"/>
  <c r="E45" i="1"/>
  <c r="G60" i="1"/>
  <c r="J58" i="1"/>
  <c r="E34" i="1"/>
  <c r="F24" i="1"/>
  <c r="G24" i="1"/>
  <c r="E24" i="1"/>
  <c r="G72" i="1"/>
  <c r="F72" i="1"/>
  <c r="J273" i="1"/>
  <c r="J269" i="1"/>
  <c r="J266" i="1"/>
  <c r="J265" i="1"/>
  <c r="J258" i="1"/>
  <c r="J257" i="1"/>
  <c r="F150" i="1"/>
  <c r="G150" i="1"/>
  <c r="J150" i="1"/>
  <c r="J59" i="1" l="1"/>
  <c r="J262" i="1"/>
  <c r="G34" i="1"/>
  <c r="J32" i="1"/>
  <c r="J33" i="1" s="1"/>
  <c r="F135" i="1"/>
  <c r="J133" i="1"/>
  <c r="J134" i="1" s="1"/>
  <c r="J135" i="1" s="1"/>
  <c r="G106" i="1"/>
  <c r="F275" i="1"/>
  <c r="J210" i="1"/>
  <c r="J106" i="1"/>
  <c r="J12" i="1"/>
  <c r="J92" i="1"/>
  <c r="F60" i="1"/>
  <c r="J45" i="1"/>
  <c r="F34" i="1"/>
  <c r="J24" i="1"/>
  <c r="E275" i="1"/>
  <c r="G275" i="1"/>
  <c r="J72" i="1"/>
  <c r="F178" i="1"/>
  <c r="G178" i="1"/>
  <c r="E178" i="1"/>
  <c r="F252" i="1"/>
  <c r="G252" i="1"/>
  <c r="E252" i="1"/>
  <c r="E195" i="1"/>
  <c r="J274" i="1" l="1"/>
  <c r="J275" i="1" s="1"/>
  <c r="K262" i="1"/>
  <c r="J34" i="1"/>
  <c r="J60" i="1"/>
  <c r="J178" i="1"/>
  <c r="J252" i="1"/>
  <c r="J191" i="1"/>
  <c r="J194" i="1" s="1"/>
  <c r="F199" i="1" l="1"/>
  <c r="J197" i="1"/>
  <c r="J198" i="1" s="1"/>
  <c r="J199" i="1" s="1"/>
  <c r="E150" i="1"/>
  <c r="E277" i="1" s="1"/>
  <c r="G195" i="1" l="1"/>
  <c r="G277" i="1" s="1"/>
  <c r="F195" i="1" l="1"/>
  <c r="F277" i="1" s="1"/>
  <c r="J195" i="1" l="1"/>
  <c r="J277" i="1" s="1"/>
</calcChain>
</file>

<file path=xl/sharedStrings.xml><?xml version="1.0" encoding="utf-8"?>
<sst xmlns="http://schemas.openxmlformats.org/spreadsheetml/2006/main" count="398" uniqueCount="202">
  <si>
    <t>Sandy Neck</t>
  </si>
  <si>
    <t>Requests</t>
  </si>
  <si>
    <t>Priority</t>
  </si>
  <si>
    <t>Marina</t>
  </si>
  <si>
    <t>Personnel</t>
  </si>
  <si>
    <t>Solid Waste</t>
  </si>
  <si>
    <t>Water Pollution</t>
  </si>
  <si>
    <t>Water Supply</t>
  </si>
  <si>
    <t>Airport</t>
  </si>
  <si>
    <t>Public Works</t>
  </si>
  <si>
    <t>Total Public Works</t>
  </si>
  <si>
    <t>Community Services</t>
  </si>
  <si>
    <t>Hyannis Youth &amp; Community Center</t>
  </si>
  <si>
    <t>Golf Courses</t>
  </si>
  <si>
    <t>Police Department</t>
  </si>
  <si>
    <t>ENTERPRISE FUNDS</t>
  </si>
  <si>
    <t>GENERAL FUND</t>
  </si>
  <si>
    <t>Administrative Department</t>
  </si>
  <si>
    <t>Operating</t>
  </si>
  <si>
    <t xml:space="preserve">Capital Outlay </t>
  </si>
  <si>
    <t>Offsetting Source</t>
  </si>
  <si>
    <t>Totals</t>
  </si>
  <si>
    <t>Total</t>
  </si>
  <si>
    <t>Planning &amp; Development</t>
  </si>
  <si>
    <t>Total Community Services Revolving Fund</t>
  </si>
  <si>
    <t>TOTAL COMMUNITY SERVICES GOLF</t>
  </si>
  <si>
    <t>TOTAL COMMUNITY SERVICES HYCC</t>
  </si>
  <si>
    <t>TOTAL MARINE &amp; ENVIRONMENTAL AFFAIRS MARINAS</t>
  </si>
  <si>
    <t>TOTAL MARINE &amp; ENVIRONMENTAL AFFAIRS SANDY NECK</t>
  </si>
  <si>
    <t>TOTAL AIRPORT</t>
  </si>
  <si>
    <t>TOTAL PUBLIC WORKS WATER POLLUTION CONTROL</t>
  </si>
  <si>
    <t>TOTAL PUBLIC WORKS WATER SUPPLY</t>
  </si>
  <si>
    <t>TOTAL PUBLIC WORKS SOLID WASTE</t>
  </si>
  <si>
    <t>TOTAL POLICE DEPARTMENT</t>
  </si>
  <si>
    <t>TOTAL ADMINISTRATION DEPARTMENT</t>
  </si>
  <si>
    <t>TOTAL MARINE &amp; ENVIRONMENTAL AFFAIRS DEPARTMENT</t>
  </si>
  <si>
    <t>Marine &amp; Environmental Affairs</t>
  </si>
  <si>
    <t>TOTAL COMMUNITY SERVICES DEPARTMENT</t>
  </si>
  <si>
    <t>TOTAL PLANNING &amp; DEVELOPMENT</t>
  </si>
  <si>
    <t>Public Education</t>
  </si>
  <si>
    <t>TOTAL COMMUNITY SERVICES PEG</t>
  </si>
  <si>
    <t>Inspectional Services</t>
  </si>
  <si>
    <t>TOTAL INSPECTIONAL SERVICES</t>
  </si>
  <si>
    <t>Total Bismore Revolving Fund</t>
  </si>
  <si>
    <t>Funding Offset</t>
  </si>
  <si>
    <t>Local Comprehensive Plan Update</t>
  </si>
  <si>
    <t>TOTAL GENERAL FUND</t>
  </si>
  <si>
    <t>Overtime Increase</t>
  </si>
  <si>
    <t>Operating Capital Renewal</t>
  </si>
  <si>
    <t>Stewart’s Creek Grinder Pump Purchases</t>
  </si>
  <si>
    <t>Bismore Park Marina Timber and Dock Repairs</t>
  </si>
  <si>
    <t>Repairs &amp; Maintenance</t>
  </si>
  <si>
    <t>Aquatic Equipment</t>
  </si>
  <si>
    <t>Operating Capital - Vehicles</t>
  </si>
  <si>
    <t>Leased Property Operating Capital</t>
  </si>
  <si>
    <t>Police Details</t>
  </si>
  <si>
    <t>Tires and Tubes</t>
  </si>
  <si>
    <t>Operating Capital</t>
  </si>
  <si>
    <t>Bearse Pond Fanwort removal (mechanical means)</t>
  </si>
  <si>
    <t>Replacement of Vehicles</t>
  </si>
  <si>
    <t>FY 2022 DECISION PACKGES</t>
  </si>
  <si>
    <t>(Vehicles/Trucks) – Replace Airport #98 Airfield Vehicle</t>
  </si>
  <si>
    <r>
      <t>(Vehicles/Trucks) – Purchase Heavy Duty Vehicular Lift for Airport Mechanic</t>
    </r>
    <r>
      <rPr>
        <sz val="11"/>
        <color theme="1"/>
        <rFont val="Arial"/>
        <family val="2"/>
      </rPr>
      <t xml:space="preserve"> </t>
    </r>
  </si>
  <si>
    <t>(Electronic Equipment) – Gate Upgrades &amp; Replacement</t>
  </si>
  <si>
    <t>(Buildings) – Airport Facility Asset Improvement &amp; Maintenance</t>
  </si>
  <si>
    <t>Seasonal Wages - Recreation</t>
  </si>
  <si>
    <t>Seasonal Wages - Aquatics</t>
  </si>
  <si>
    <t>Seasonal Wages - HYCC Recreation</t>
  </si>
  <si>
    <t>Seasonal Staff for Parking Permit Sales</t>
  </si>
  <si>
    <t>Beach Safety Officers</t>
  </si>
  <si>
    <t xml:space="preserve">Portable Bathrooms for Aquatics </t>
  </si>
  <si>
    <t>Youth Summit &amp; Community Substance Abuse Prevention Forum</t>
  </si>
  <si>
    <t>Lifeguard Towers Hardware/Covering</t>
  </si>
  <si>
    <t xml:space="preserve">Archery Targets and Back drops  </t>
  </si>
  <si>
    <t>Seasonal Minimum Wages Impact - Golf Courses OBF</t>
  </si>
  <si>
    <t>Seasonal Minimum Wages Impact - Golf Courses Hyannis</t>
  </si>
  <si>
    <t>Seasonal Wages Increase - Golf Courses OBF</t>
  </si>
  <si>
    <t>Seasonal Wages Increase - Golf Courses Hyannis</t>
  </si>
  <si>
    <t>Remote Well #2 Rebuild Project at OBF, Phase 1</t>
  </si>
  <si>
    <t>Administration Office HVAC replacement Project</t>
  </si>
  <si>
    <t>Golf Division Line Item Adjustments OBF</t>
  </si>
  <si>
    <t>Golf Division Line Item Adjustments Hyannis</t>
  </si>
  <si>
    <t>Volleyball Infrastructure &amp; Equipment Upgrade</t>
  </si>
  <si>
    <t>Structures &amp; Grounds</t>
  </si>
  <si>
    <t xml:space="preserve">Facilities Operating Capital – Buildings </t>
  </si>
  <si>
    <t>Municipal Solid Waste Collection Contract</t>
  </si>
  <si>
    <t>HYCC Mechanical Operating Capital</t>
  </si>
  <si>
    <t xml:space="preserve">Recreation </t>
  </si>
  <si>
    <t>Water Increases</t>
  </si>
  <si>
    <t>School Athletic Field Maintenance</t>
  </si>
  <si>
    <t>School Athletic Fields Operating Capital (Equipment)</t>
  </si>
  <si>
    <t>Environment and Natural Resources</t>
  </si>
  <si>
    <t>Administration</t>
  </si>
  <si>
    <t>Estuaries, Ponds, and Lakes Water Sampling Equipment</t>
  </si>
  <si>
    <t>Benefits</t>
  </si>
  <si>
    <t>Cotuit Road MM</t>
  </si>
  <si>
    <t>Highway</t>
  </si>
  <si>
    <t xml:space="preserve">Sea Street Hyannis Maintenance </t>
  </si>
  <si>
    <t>Main Street Barnstable Village</t>
  </si>
  <si>
    <t xml:space="preserve">Trees/Plants/Shrubs </t>
  </si>
  <si>
    <t xml:space="preserve">Road Markings </t>
  </si>
  <si>
    <t>Cell Phones</t>
  </si>
  <si>
    <t>Inspection/Permitting</t>
  </si>
  <si>
    <t>Increase the Hours of the Two Part-Time Seasonal Water Quality Specialists</t>
  </si>
  <si>
    <t>Public Health</t>
  </si>
  <si>
    <t>Increase the work hours of the Coastal Health Resource Coordinator position</t>
  </si>
  <si>
    <t>Coastal and Shellfish</t>
  </si>
  <si>
    <t>Recreation</t>
  </si>
  <si>
    <t>Olde Barnstable</t>
  </si>
  <si>
    <t>Hyannis</t>
  </si>
  <si>
    <t>Harbormaster Certification Training</t>
  </si>
  <si>
    <t>Harbormaster</t>
  </si>
  <si>
    <t>Harbormaster Operating Expenses</t>
  </si>
  <si>
    <t>Vehicles Purchase</t>
  </si>
  <si>
    <t>Waterways</t>
  </si>
  <si>
    <t>Moorings</t>
  </si>
  <si>
    <t>Transient Mooring Program</t>
  </si>
  <si>
    <t>Seasonal Pay Rate Increases</t>
  </si>
  <si>
    <t>Marina Enterprise Operations Line Items Increase</t>
  </si>
  <si>
    <t>Dock Replacement and Maintenance</t>
  </si>
  <si>
    <t>Prince Cove Marina Facility Improvements</t>
  </si>
  <si>
    <t>Seasonal Pay Rate Increase</t>
  </si>
  <si>
    <t>Used Patrol Vehicle</t>
  </si>
  <si>
    <t>Digital Shorebird Data Tracking Program</t>
  </si>
  <si>
    <t>Increase to Recycling Material line item</t>
  </si>
  <si>
    <t>Increase to Contract Service Hazardous Waste Disposal line item</t>
  </si>
  <si>
    <t>Increase to CHARM-Recycling Disposal line item</t>
  </si>
  <si>
    <t>Increase to Repairs &amp; Maintenance - Vehicles</t>
  </si>
  <si>
    <t>Increase to R&amp;M Heavy Equipment</t>
  </si>
  <si>
    <t>Increase to Buildings/Grounds line item</t>
  </si>
  <si>
    <t>Increase to Parts/Accessories line item</t>
  </si>
  <si>
    <t>Increase to Motor Oil Lubrication line item</t>
  </si>
  <si>
    <t>Increase to Contract Services-Other</t>
  </si>
  <si>
    <t>Increase to Office Supplies line item</t>
  </si>
  <si>
    <t>Safety Equipment line item</t>
  </si>
  <si>
    <t>Increase to Uniforms line item</t>
  </si>
  <si>
    <t>Increase to Advertising Line Item</t>
  </si>
  <si>
    <t>Increase to Postage/Delivery Line item</t>
  </si>
  <si>
    <t>Increase to Tools/Equipment line item</t>
  </si>
  <si>
    <t>Increase to General Building Supplies line item</t>
  </si>
  <si>
    <t>Electricity Expense Increase</t>
  </si>
  <si>
    <t>Increase to Telephone Service Line item</t>
  </si>
  <si>
    <t>Increase to Cellular Phone Service Line item</t>
  </si>
  <si>
    <t>Sludge Disposal Budget Increase</t>
  </si>
  <si>
    <t>Professional Services Budget Increase</t>
  </si>
  <si>
    <t>Chemicals Budget Increase</t>
  </si>
  <si>
    <t>Laboratory Supplies Budget Increase – Marstons Mills Wastewater Treatment Plant</t>
  </si>
  <si>
    <t>R&amp;M Sewer Lines</t>
  </si>
  <si>
    <t>Salary/Wages Temporary Labor Funding</t>
  </si>
  <si>
    <t>Diesel Fuel Budget Increase</t>
  </si>
  <si>
    <t>Computer Software Budget Increase</t>
  </si>
  <si>
    <t>Natural Gas Budget Increase</t>
  </si>
  <si>
    <t>Repair &amp; Maintenance Vehicles Budget Increase</t>
  </si>
  <si>
    <t>Alarms Budget Increase</t>
  </si>
  <si>
    <t>Operations Contract, Year 13 increase, PROVISIONAL</t>
  </si>
  <si>
    <t>Water Purchase elimination</t>
  </si>
  <si>
    <t>Buildings &amp; Grounds Expenses</t>
  </si>
  <si>
    <t>Credit Card Fees Expense Increase</t>
  </si>
  <si>
    <t>Tools &amp; Equipment</t>
  </si>
  <si>
    <t>Dues &amp; Memberships</t>
  </si>
  <si>
    <t xml:space="preserve">Aquatic Invasive Species Control and Monitory Program Part 1 </t>
  </si>
  <si>
    <t xml:space="preserve">Aquatic Invasive Species Control and Monitory Program Part 2 Fanwort.  </t>
  </si>
  <si>
    <t>License Plate Recognition (LPR) Technology &amp; Leased Vehicle Buyout</t>
  </si>
  <si>
    <t>Information Technology Director &amp; Upgrade Police Technology Coordinator</t>
  </si>
  <si>
    <t>Technology Bundle</t>
  </si>
  <si>
    <t>Additional Telecommunications/Jail Assistant Position</t>
  </si>
  <si>
    <t>Increase in Overtime Allocation to Keep Pace with Pay Increases</t>
  </si>
  <si>
    <t>Training Bundle</t>
  </si>
  <si>
    <t>Officer Wellness</t>
  </si>
  <si>
    <t>Community Services Bundle</t>
  </si>
  <si>
    <t>Duty Pistol Replacement</t>
  </si>
  <si>
    <t>Pistol Trade In</t>
  </si>
  <si>
    <t>SWAT Equipment</t>
  </si>
  <si>
    <t>Vehicle Maintenance Shop Tools/Equipment</t>
  </si>
  <si>
    <t>Upgrade Administrative Assist to Detectives/Grants Coordinator</t>
  </si>
  <si>
    <t>Forensics Workstation</t>
  </si>
  <si>
    <t>Mountain Bike Update and Maintenance</t>
  </si>
  <si>
    <t>Marine Unit Projected Maintenance Expenses</t>
  </si>
  <si>
    <t>Town Manager Department</t>
  </si>
  <si>
    <t>TOTAL TOWN MANAGER DEPARTMENT</t>
  </si>
  <si>
    <t>Litter Ordinance Communications</t>
  </si>
  <si>
    <t>Increased Communications Budget</t>
  </si>
  <si>
    <t>Communication</t>
  </si>
  <si>
    <t>Asset Management</t>
  </si>
  <si>
    <t>Review of Channel 18 Staff positions</t>
  </si>
  <si>
    <t>?????</t>
  </si>
  <si>
    <t>Closed Captioning for Channel 18</t>
  </si>
  <si>
    <t>James H. Crocker, Jr. Hearing Room Audio Visual Repairs and Upgrades</t>
  </si>
  <si>
    <t>Year 3 Taser Lease</t>
  </si>
  <si>
    <t>Information Tech</t>
  </si>
  <si>
    <t>Director of Property &amp; Risk Management (Upgrade)</t>
  </si>
  <si>
    <t>Director of Licensing (Assistant Division Supervisor)</t>
  </si>
  <si>
    <t>Create Property Manager Position</t>
  </si>
  <si>
    <t>Update of RecTrac Software</t>
  </si>
  <si>
    <t>Live Sports Producer</t>
  </si>
  <si>
    <t>Software Increases</t>
  </si>
  <si>
    <t>GIS Increases</t>
  </si>
  <si>
    <t>Hub Increases</t>
  </si>
  <si>
    <t>Overtime Increases</t>
  </si>
  <si>
    <t>Cellphones Incrasses</t>
  </si>
  <si>
    <t>Container Replacement (2 units)</t>
  </si>
  <si>
    <t>Kubota RTV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</si>
</sst>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85C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D3B72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009A96"/>
        <bgColor indexed="64"/>
      </patternFill>
    </fill>
    <fill>
      <patternFill patternType="solid">
        <fgColor rgb="FF96A0A4"/>
        <bgColor indexed="64"/>
      </patternFill>
    </fill>
    <fill>
      <patternFill patternType="solid">
        <fgColor rgb="FF3C332E"/>
        <bgColor indexed="64"/>
      </patternFill>
    </fill>
    <fill>
      <patternFill patternType="solid">
        <fgColor rgb="FF194189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7AA0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0739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19" borderId="0" applyNumberFormat="0" applyBorder="0" applyAlignment="0" applyProtection="0"/>
    <xf numFmtId="0" fontId="9" fillId="20" borderId="13" applyNumberFormat="0" applyAlignment="0" applyProtection="0"/>
    <xf numFmtId="0" fontId="8" fillId="21" borderId="0" applyNumberFormat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205">
    <xf numFmtId="0" fontId="0" fillId="0" borderId="0" xfId="0"/>
    <xf numFmtId="0" fontId="0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4" fontId="0" fillId="0" borderId="1" xfId="2" applyFont="1" applyBorder="1" applyAlignment="1">
      <alignment vertical="center"/>
    </xf>
    <xf numFmtId="164" fontId="0" fillId="0" borderId="1" xfId="2" applyNumberFormat="1" applyFont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1" applyNumberFormat="1" applyFont="1" applyFill="1" applyBorder="1" applyAlignment="1">
      <alignment horizontal="center" vertical="center"/>
    </xf>
    <xf numFmtId="44" fontId="2" fillId="0" borderId="6" xfId="2" applyFont="1" applyFill="1" applyBorder="1" applyAlignment="1">
      <alignment vertical="center"/>
    </xf>
    <xf numFmtId="164" fontId="2" fillId="0" borderId="6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4" fillId="8" borderId="2" xfId="2" applyNumberFormat="1" applyFont="1" applyFill="1" applyBorder="1" applyAlignment="1">
      <alignment horizontal="center" vertical="center"/>
    </xf>
    <xf numFmtId="164" fontId="2" fillId="8" borderId="1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164" fontId="2" fillId="6" borderId="1" xfId="2" applyNumberFormat="1" applyFont="1" applyFill="1" applyBorder="1" applyAlignment="1">
      <alignment horizontal="center" vertical="center"/>
    </xf>
    <xf numFmtId="164" fontId="4" fillId="7" borderId="2" xfId="2" applyNumberFormat="1" applyFont="1" applyFill="1" applyBorder="1" applyAlignment="1">
      <alignment horizontal="center" vertical="center"/>
    </xf>
    <xf numFmtId="164" fontId="2" fillId="7" borderId="1" xfId="2" applyNumberFormat="1" applyFont="1" applyFill="1" applyBorder="1" applyAlignment="1">
      <alignment horizontal="center" vertical="center"/>
    </xf>
    <xf numFmtId="164" fontId="4" fillId="9" borderId="2" xfId="2" applyNumberFormat="1" applyFont="1" applyFill="1" applyBorder="1" applyAlignment="1">
      <alignment horizontal="center" vertical="center"/>
    </xf>
    <xf numFmtId="164" fontId="2" fillId="9" borderId="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center" vertical="center"/>
    </xf>
    <xf numFmtId="44" fontId="2" fillId="0" borderId="0" xfId="2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horizontal="center" vertical="center"/>
    </xf>
    <xf numFmtId="164" fontId="4" fillId="10" borderId="2" xfId="2" applyNumberFormat="1" applyFont="1" applyFill="1" applyBorder="1" applyAlignment="1">
      <alignment horizontal="center" vertical="center"/>
    </xf>
    <xf numFmtId="164" fontId="2" fillId="10" borderId="1" xfId="2" applyNumberFormat="1" applyFont="1" applyFill="1" applyBorder="1" applyAlignment="1">
      <alignment horizontal="center" vertical="center"/>
    </xf>
    <xf numFmtId="164" fontId="4" fillId="11" borderId="1" xfId="2" applyNumberFormat="1" applyFont="1" applyFill="1" applyBorder="1" applyAlignment="1">
      <alignment horizontal="center" vertical="center"/>
    </xf>
    <xf numFmtId="164" fontId="2" fillId="11" borderId="1" xfId="2" applyNumberFormat="1" applyFont="1" applyFill="1" applyBorder="1" applyAlignment="1">
      <alignment horizontal="center" vertical="center"/>
    </xf>
    <xf numFmtId="164" fontId="4" fillId="12" borderId="2" xfId="2" applyNumberFormat="1" applyFont="1" applyFill="1" applyBorder="1" applyAlignment="1">
      <alignment horizontal="center" vertical="center"/>
    </xf>
    <xf numFmtId="164" fontId="2" fillId="12" borderId="1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>
      <alignment horizontal="center" vertical="center"/>
    </xf>
    <xf numFmtId="44" fontId="2" fillId="3" borderId="0" xfId="2" applyFont="1" applyFill="1" applyBorder="1" applyAlignment="1">
      <alignment vertical="center"/>
    </xf>
    <xf numFmtId="164" fontId="2" fillId="3" borderId="0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4" fillId="2" borderId="0" xfId="2" applyNumberFormat="1" applyFont="1" applyFill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4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1" applyNumberFormat="1" applyFont="1" applyBorder="1" applyAlignment="1">
      <alignment horizontal="center" vertical="center"/>
    </xf>
    <xf numFmtId="44" fontId="5" fillId="17" borderId="2" xfId="2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0" fillId="0" borderId="8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1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1" applyNumberFormat="1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0" fillId="0" borderId="5" xfId="2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164" fontId="4" fillId="13" borderId="2" xfId="2" applyNumberFormat="1" applyFont="1" applyFill="1" applyBorder="1" applyAlignment="1">
      <alignment horizontal="center" vertical="center"/>
    </xf>
    <xf numFmtId="164" fontId="2" fillId="13" borderId="1" xfId="2" applyNumberFormat="1" applyFont="1" applyFill="1" applyBorder="1" applyAlignment="1">
      <alignment horizontal="center" vertical="center"/>
    </xf>
    <xf numFmtId="164" fontId="4" fillId="14" borderId="2" xfId="2" applyNumberFormat="1" applyFont="1" applyFill="1" applyBorder="1" applyAlignment="1">
      <alignment horizontal="center" vertical="center"/>
    </xf>
    <xf numFmtId="44" fontId="2" fillId="14" borderId="1" xfId="2" applyFont="1" applyFill="1" applyBorder="1" applyAlignment="1">
      <alignment vertical="center"/>
    </xf>
    <xf numFmtId="164" fontId="2" fillId="14" borderId="1" xfId="2" applyNumberFormat="1" applyFont="1" applyFill="1" applyBorder="1" applyAlignment="1">
      <alignment horizontal="center" vertical="center"/>
    </xf>
    <xf numFmtId="164" fontId="4" fillId="15" borderId="2" xfId="2" applyNumberFormat="1" applyFont="1" applyFill="1" applyBorder="1" applyAlignment="1">
      <alignment horizontal="center" vertical="center"/>
    </xf>
    <xf numFmtId="164" fontId="2" fillId="15" borderId="1" xfId="2" applyNumberFormat="1" applyFont="1" applyFill="1" applyBorder="1" applyAlignment="1">
      <alignment horizontal="center" vertical="center"/>
    </xf>
    <xf numFmtId="164" fontId="4" fillId="16" borderId="2" xfId="2" applyNumberFormat="1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left" vertical="center"/>
    </xf>
    <xf numFmtId="0" fontId="3" fillId="16" borderId="8" xfId="1" applyNumberFormat="1" applyFont="1" applyFill="1" applyBorder="1" applyAlignment="1">
      <alignment horizontal="center" vertical="center"/>
    </xf>
    <xf numFmtId="164" fontId="2" fillId="16" borderId="1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4" fontId="0" fillId="0" borderId="0" xfId="2" applyFont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0" fontId="3" fillId="10" borderId="8" xfId="1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left" vertical="center"/>
    </xf>
    <xf numFmtId="0" fontId="3" fillId="12" borderId="8" xfId="1" applyNumberFormat="1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left" vertical="center"/>
    </xf>
    <xf numFmtId="0" fontId="3" fillId="11" borderId="8" xfId="1" applyNumberFormat="1" applyFont="1" applyFill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9" borderId="7" xfId="0" applyFont="1" applyFill="1" applyBorder="1" applyAlignment="1">
      <alignment horizontal="left" vertical="center"/>
    </xf>
    <xf numFmtId="0" fontId="3" fillId="9" borderId="8" xfId="1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8" xfId="1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center" vertical="center"/>
    </xf>
    <xf numFmtId="0" fontId="3" fillId="8" borderId="9" xfId="0" applyFont="1" applyFill="1" applyBorder="1" applyAlignment="1">
      <alignment horizontal="left" vertical="center"/>
    </xf>
    <xf numFmtId="0" fontId="3" fillId="8" borderId="12" xfId="1" applyNumberFormat="1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left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17" borderId="1" xfId="2" applyNumberFormat="1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left" vertical="center"/>
    </xf>
    <xf numFmtId="0" fontId="3" fillId="18" borderId="8" xfId="1" applyNumberFormat="1" applyFont="1" applyFill="1" applyBorder="1" applyAlignment="1">
      <alignment horizontal="center" vertical="center"/>
    </xf>
    <xf numFmtId="44" fontId="2" fillId="18" borderId="1" xfId="2" applyFont="1" applyFill="1" applyBorder="1" applyAlignment="1">
      <alignment vertical="center"/>
    </xf>
    <xf numFmtId="164" fontId="2" fillId="18" borderId="1" xfId="2" applyNumberFormat="1" applyFont="1" applyFill="1" applyBorder="1" applyAlignment="1">
      <alignment horizontal="center" vertical="center"/>
    </xf>
    <xf numFmtId="164" fontId="4" fillId="22" borderId="2" xfId="2" applyNumberFormat="1" applyFont="1" applyFill="1" applyBorder="1" applyAlignment="1">
      <alignment horizontal="center" vertical="center"/>
    </xf>
    <xf numFmtId="164" fontId="2" fillId="22" borderId="1" xfId="2" applyNumberFormat="1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left" vertical="center"/>
    </xf>
    <xf numFmtId="0" fontId="3" fillId="22" borderId="8" xfId="1" applyNumberFormat="1" applyFont="1" applyFill="1" applyBorder="1" applyAlignment="1">
      <alignment horizontal="center" vertical="center"/>
    </xf>
    <xf numFmtId="0" fontId="3" fillId="24" borderId="8" xfId="1" applyNumberFormat="1" applyFont="1" applyFill="1" applyBorder="1" applyAlignment="1">
      <alignment horizontal="center" vertical="center"/>
    </xf>
    <xf numFmtId="164" fontId="2" fillId="24" borderId="1" xfId="2" applyNumberFormat="1" applyFont="1" applyFill="1" applyBorder="1" applyAlignment="1">
      <alignment horizontal="center" vertical="center"/>
    </xf>
    <xf numFmtId="0" fontId="3" fillId="24" borderId="7" xfId="0" applyFont="1" applyFill="1" applyBorder="1" applyAlignment="1">
      <alignment horizontal="left" vertical="center"/>
    </xf>
    <xf numFmtId="164" fontId="4" fillId="24" borderId="2" xfId="2" applyNumberFormat="1" applyFont="1" applyFill="1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 vertical="center"/>
    </xf>
    <xf numFmtId="164" fontId="0" fillId="0" borderId="7" xfId="2" applyNumberFormat="1" applyFont="1" applyFill="1" applyBorder="1" applyAlignment="1">
      <alignment horizontal="center" vertical="center"/>
    </xf>
    <xf numFmtId="164" fontId="0" fillId="0" borderId="10" xfId="2" applyNumberFormat="1" applyFont="1" applyFill="1" applyBorder="1" applyAlignment="1">
      <alignment horizontal="center" vertical="center"/>
    </xf>
    <xf numFmtId="164" fontId="0" fillId="0" borderId="7" xfId="2" applyNumberFormat="1" applyFont="1" applyBorder="1" applyAlignment="1">
      <alignment horizontal="left" vertical="center"/>
    </xf>
    <xf numFmtId="0" fontId="0" fillId="0" borderId="2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2" fillId="5" borderId="7" xfId="4" applyFont="1" applyFill="1" applyBorder="1" applyAlignment="1">
      <alignment horizontal="left" vertical="center"/>
    </xf>
    <xf numFmtId="0" fontId="2" fillId="9" borderId="7" xfId="4" applyFont="1" applyFill="1" applyBorder="1" applyAlignment="1">
      <alignment horizontal="left" vertical="center"/>
    </xf>
    <xf numFmtId="0" fontId="2" fillId="7" borderId="7" xfId="4" applyFont="1" applyFill="1" applyBorder="1" applyAlignment="1">
      <alignment horizontal="left" vertical="center"/>
    </xf>
    <xf numFmtId="0" fontId="2" fillId="8" borderId="7" xfId="4" applyFont="1" applyFill="1" applyBorder="1" applyAlignment="1">
      <alignment horizontal="left" vertical="center"/>
    </xf>
    <xf numFmtId="0" fontId="2" fillId="6" borderId="7" xfId="4" applyFont="1" applyFill="1" applyBorder="1" applyAlignment="1">
      <alignment horizontal="left" vertical="center"/>
    </xf>
    <xf numFmtId="0" fontId="2" fillId="24" borderId="7" xfId="4" applyFont="1" applyFill="1" applyBorder="1" applyAlignment="1">
      <alignment horizontal="left" vertical="center"/>
    </xf>
    <xf numFmtId="0" fontId="2" fillId="11" borderId="7" xfId="4" applyFont="1" applyFill="1" applyBorder="1" applyAlignment="1">
      <alignment horizontal="left" vertical="center"/>
    </xf>
    <xf numFmtId="0" fontId="2" fillId="12" borderId="7" xfId="4" applyFont="1" applyFill="1" applyBorder="1" applyAlignment="1">
      <alignment horizontal="left" vertical="center"/>
    </xf>
    <xf numFmtId="0" fontId="2" fillId="10" borderId="7" xfId="4" applyFont="1" applyFill="1" applyBorder="1" applyAlignment="1">
      <alignment horizontal="left" vertical="center"/>
    </xf>
    <xf numFmtId="44" fontId="2" fillId="2" borderId="3" xfId="2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horizontal="center" vertical="center"/>
    </xf>
    <xf numFmtId="0" fontId="2" fillId="22" borderId="7" xfId="4" applyFont="1" applyFill="1" applyBorder="1" applyAlignment="1">
      <alignment horizontal="left" vertical="center"/>
    </xf>
    <xf numFmtId="0" fontId="2" fillId="13" borderId="7" xfId="4" applyFont="1" applyFill="1" applyBorder="1" applyAlignment="1">
      <alignment horizontal="left" vertical="center"/>
    </xf>
    <xf numFmtId="0" fontId="2" fillId="23" borderId="7" xfId="4" applyFont="1" applyFill="1" applyBorder="1" applyAlignment="1">
      <alignment horizontal="left" vertical="center"/>
    </xf>
    <xf numFmtId="0" fontId="2" fillId="16" borderId="7" xfId="4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14" borderId="7" xfId="0" applyFont="1" applyFill="1" applyBorder="1" applyAlignment="1">
      <alignment horizontal="left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left" vertical="center"/>
    </xf>
    <xf numFmtId="0" fontId="3" fillId="15" borderId="8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1" applyNumberFormat="1" applyFont="1" applyFill="1" applyBorder="1" applyAlignment="1">
      <alignment horizontal="center" vertical="center"/>
    </xf>
    <xf numFmtId="164" fontId="4" fillId="25" borderId="2" xfId="2" applyNumberFormat="1" applyFont="1" applyFill="1" applyBorder="1" applyAlignment="1">
      <alignment horizontal="center" vertical="center"/>
    </xf>
    <xf numFmtId="0" fontId="3" fillId="25" borderId="7" xfId="0" applyFont="1" applyFill="1" applyBorder="1" applyAlignment="1">
      <alignment horizontal="left" vertical="center"/>
    </xf>
    <xf numFmtId="0" fontId="3" fillId="25" borderId="8" xfId="1" applyNumberFormat="1" applyFont="1" applyFill="1" applyBorder="1" applyAlignment="1">
      <alignment horizontal="center" vertical="center"/>
    </xf>
    <xf numFmtId="0" fontId="2" fillId="25" borderId="7" xfId="4" applyFont="1" applyFill="1" applyBorder="1" applyAlignment="1">
      <alignment horizontal="left" vertical="center"/>
    </xf>
    <xf numFmtId="164" fontId="2" fillId="25" borderId="1" xfId="2" applyNumberFormat="1" applyFont="1" applyFill="1" applyBorder="1" applyAlignment="1">
      <alignment horizontal="center" vertical="center"/>
    </xf>
    <xf numFmtId="0" fontId="3" fillId="26" borderId="7" xfId="0" applyFont="1" applyFill="1" applyBorder="1" applyAlignment="1">
      <alignment horizontal="left" vertical="center"/>
    </xf>
    <xf numFmtId="0" fontId="3" fillId="26" borderId="8" xfId="1" applyNumberFormat="1" applyFont="1" applyFill="1" applyBorder="1" applyAlignment="1">
      <alignment horizontal="center" vertical="center"/>
    </xf>
    <xf numFmtId="44" fontId="2" fillId="26" borderId="1" xfId="2" applyFont="1" applyFill="1" applyBorder="1" applyAlignment="1">
      <alignment vertical="center"/>
    </xf>
    <xf numFmtId="164" fontId="2" fillId="26" borderId="1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4" xfId="1" applyNumberFormat="1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27" borderId="10" xfId="0" applyFont="1" applyFill="1" applyBorder="1" applyAlignment="1">
      <alignment horizontal="left" vertical="center"/>
    </xf>
    <xf numFmtId="0" fontId="0" fillId="27" borderId="4" xfId="1" applyNumberFormat="1" applyFont="1" applyFill="1" applyBorder="1" applyAlignment="1">
      <alignment horizontal="center" vertical="center"/>
    </xf>
    <xf numFmtId="44" fontId="0" fillId="27" borderId="1" xfId="2" applyFont="1" applyFill="1" applyBorder="1" applyAlignment="1">
      <alignment vertical="center"/>
    </xf>
    <xf numFmtId="43" fontId="0" fillId="27" borderId="1" xfId="1" applyFont="1" applyFill="1" applyBorder="1" applyAlignment="1">
      <alignment horizontal="center" vertical="center"/>
    </xf>
    <xf numFmtId="164" fontId="0" fillId="27" borderId="7" xfId="2" applyNumberFormat="1" applyFont="1" applyFill="1" applyBorder="1" applyAlignment="1">
      <alignment horizontal="center" vertical="center"/>
    </xf>
    <xf numFmtId="164" fontId="5" fillId="27" borderId="1" xfId="2" applyNumberFormat="1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left" vertical="center"/>
    </xf>
    <xf numFmtId="0" fontId="0" fillId="28" borderId="4" xfId="1" applyNumberFormat="1" applyFont="1" applyFill="1" applyBorder="1" applyAlignment="1">
      <alignment horizontal="center" vertical="center"/>
    </xf>
    <xf numFmtId="44" fontId="0" fillId="28" borderId="1" xfId="2" applyFont="1" applyFill="1" applyBorder="1" applyAlignment="1">
      <alignment vertical="center"/>
    </xf>
    <xf numFmtId="43" fontId="0" fillId="28" borderId="1" xfId="1" applyFont="1" applyFill="1" applyBorder="1" applyAlignment="1">
      <alignment horizontal="center" vertical="center"/>
    </xf>
    <xf numFmtId="164" fontId="0" fillId="28" borderId="1" xfId="2" applyNumberFormat="1" applyFont="1" applyFill="1" applyBorder="1" applyAlignment="1">
      <alignment horizontal="center" vertical="center"/>
    </xf>
    <xf numFmtId="164" fontId="5" fillId="28" borderId="1" xfId="2" applyNumberFormat="1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left" vertical="center"/>
    </xf>
    <xf numFmtId="0" fontId="0" fillId="29" borderId="4" xfId="1" applyNumberFormat="1" applyFont="1" applyFill="1" applyBorder="1" applyAlignment="1">
      <alignment horizontal="center" vertical="center"/>
    </xf>
    <xf numFmtId="44" fontId="0" fillId="29" borderId="1" xfId="2" applyFont="1" applyFill="1" applyBorder="1" applyAlignment="1">
      <alignment vertical="center"/>
    </xf>
    <xf numFmtId="43" fontId="0" fillId="29" borderId="1" xfId="1" applyFont="1" applyFill="1" applyBorder="1" applyAlignment="1">
      <alignment horizontal="center" vertical="center"/>
    </xf>
    <xf numFmtId="164" fontId="0" fillId="29" borderId="7" xfId="2" applyNumberFormat="1" applyFont="1" applyFill="1" applyBorder="1" applyAlignment="1">
      <alignment horizontal="center" vertical="center"/>
    </xf>
    <xf numFmtId="164" fontId="5" fillId="29" borderId="1" xfId="2" applyNumberFormat="1" applyFont="1" applyFill="1" applyBorder="1" applyAlignment="1">
      <alignment horizontal="center" vertical="center"/>
    </xf>
    <xf numFmtId="164" fontId="4" fillId="11" borderId="2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14" borderId="7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left" vertical="center"/>
    </xf>
    <xf numFmtId="0" fontId="2" fillId="22" borderId="7" xfId="0" applyFont="1" applyFill="1" applyBorder="1" applyAlignment="1">
      <alignment horizontal="left" vertical="center"/>
    </xf>
    <xf numFmtId="0" fontId="2" fillId="22" borderId="2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24" borderId="7" xfId="0" applyFont="1" applyFill="1" applyBorder="1" applyAlignment="1">
      <alignment horizontal="left" vertical="center"/>
    </xf>
    <xf numFmtId="0" fontId="2" fillId="24" borderId="2" xfId="0" applyFont="1" applyFill="1" applyBorder="1" applyAlignment="1">
      <alignment horizontal="left" vertical="center"/>
    </xf>
    <xf numFmtId="0" fontId="2" fillId="15" borderId="7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7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16" borderId="7" xfId="0" applyFont="1" applyFill="1" applyBorder="1" applyAlignment="1">
      <alignment horizontal="left" vertical="center"/>
    </xf>
    <xf numFmtId="0" fontId="2" fillId="16" borderId="2" xfId="0" applyFont="1" applyFill="1" applyBorder="1" applyAlignment="1">
      <alignment horizontal="left" vertical="center"/>
    </xf>
    <xf numFmtId="0" fontId="2" fillId="25" borderId="7" xfId="0" applyFont="1" applyFill="1" applyBorder="1" applyAlignment="1">
      <alignment horizontal="left" vertical="center"/>
    </xf>
    <xf numFmtId="0" fontId="2" fillId="25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</cellXfs>
  <cellStyles count="9">
    <cellStyle name="20% - Accent5 2" xfId="6"/>
    <cellStyle name="40% - Accent4 2" xfId="4"/>
    <cellStyle name="Comma" xfId="1" builtinId="3"/>
    <cellStyle name="Comma 2" xfId="3"/>
    <cellStyle name="Currency" xfId="2" builtinId="4"/>
    <cellStyle name="Currency 2" xfId="7"/>
    <cellStyle name="Normal" xfId="0" builtinId="0"/>
    <cellStyle name="Normal 2" xfId="8"/>
    <cellStyle name="Output 2" xfId="5"/>
  </cellStyles>
  <dxfs count="0"/>
  <tableStyles count="0" defaultTableStyle="TableStyleMedium2" defaultPivotStyle="PivotStyleLight16"/>
  <colors>
    <mruColors>
      <color rgb="FF3C332E"/>
      <color rgb="FFFFB3F6"/>
      <color rgb="FF30739C"/>
      <color rgb="FF00B050"/>
      <color rgb="FF7AA0E7"/>
      <color rgb="FFE26B0A"/>
      <color rgb="FF60497A"/>
      <color rgb="FF31869B"/>
      <color rgb="FF194189"/>
      <color rgb="FF96A0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5"/>
  <sheetViews>
    <sheetView showGridLines="0" tabSelected="1" zoomScale="90" zoomScaleNormal="90" workbookViewId="0">
      <selection activeCell="C256" sqref="C256:C271"/>
    </sheetView>
  </sheetViews>
  <sheetFormatPr defaultRowHeight="15" x14ac:dyDescent="0.25"/>
  <cols>
    <col min="1" max="1" width="2.140625" style="1" customWidth="1"/>
    <col min="2" max="2" width="8.85546875" style="68" customWidth="1"/>
    <col min="3" max="3" width="7.5703125" style="1" bestFit="1" customWidth="1"/>
    <col min="4" max="4" width="75.85546875" style="1" bestFit="1" customWidth="1"/>
    <col min="5" max="5" width="12.7109375" style="69" bestFit="1" customWidth="1"/>
    <col min="6" max="6" width="12.85546875" style="69" bestFit="1" customWidth="1"/>
    <col min="7" max="7" width="15.42578125" style="69" bestFit="1" customWidth="1"/>
    <col min="8" max="8" width="15.7109375" style="69" bestFit="1" customWidth="1"/>
    <col min="9" max="9" width="18.140625" style="69" bestFit="1" customWidth="1"/>
    <col min="10" max="10" width="12.7109375" style="69" bestFit="1" customWidth="1"/>
    <col min="11" max="11" width="11.5703125" style="1" bestFit="1" customWidth="1"/>
    <col min="12" max="12" width="9.85546875" style="1" bestFit="1" customWidth="1"/>
    <col min="13" max="16384" width="9.140625" style="1"/>
  </cols>
  <sheetData>
    <row r="1" spans="2:10" x14ac:dyDescent="0.25">
      <c r="B1" s="170" t="s">
        <v>60</v>
      </c>
      <c r="C1" s="170"/>
      <c r="D1" s="170"/>
      <c r="E1" s="170"/>
      <c r="F1" s="170"/>
      <c r="G1" s="170"/>
      <c r="H1" s="170"/>
      <c r="I1" s="170"/>
      <c r="J1" s="170"/>
    </row>
    <row r="2" spans="2:10" x14ac:dyDescent="0.25">
      <c r="B2" s="171" t="s">
        <v>15</v>
      </c>
      <c r="C2" s="171"/>
      <c r="D2" s="171"/>
      <c r="E2" s="171"/>
      <c r="F2" s="171"/>
      <c r="G2" s="171"/>
      <c r="H2" s="171"/>
      <c r="I2" s="171"/>
      <c r="J2" s="171"/>
    </row>
    <row r="3" spans="2:10" x14ac:dyDescent="0.25">
      <c r="B3" s="2" t="s">
        <v>8</v>
      </c>
      <c r="C3" s="3"/>
      <c r="D3" s="3"/>
      <c r="E3" s="3"/>
      <c r="F3" s="3"/>
      <c r="G3" s="3"/>
      <c r="H3" s="3"/>
      <c r="I3" s="3"/>
      <c r="J3" s="3"/>
    </row>
    <row r="4" spans="2:10" s="5" customFormat="1" x14ac:dyDescent="0.25">
      <c r="B4" s="39"/>
      <c r="C4" s="40" t="s">
        <v>2</v>
      </c>
      <c r="D4" s="91" t="s">
        <v>1</v>
      </c>
      <c r="E4" s="4" t="s">
        <v>4</v>
      </c>
      <c r="F4" s="4" t="s">
        <v>18</v>
      </c>
      <c r="G4" s="4" t="s">
        <v>19</v>
      </c>
      <c r="H4" s="4" t="s">
        <v>44</v>
      </c>
      <c r="I4" s="4" t="s">
        <v>20</v>
      </c>
      <c r="J4" s="4" t="s">
        <v>21</v>
      </c>
    </row>
    <row r="5" spans="2:10" x14ac:dyDescent="0.25">
      <c r="B5" s="46"/>
      <c r="C5" s="47">
        <v>1</v>
      </c>
      <c r="D5" s="7" t="s">
        <v>61</v>
      </c>
      <c r="E5" s="146">
        <v>0</v>
      </c>
      <c r="F5" s="146">
        <v>0</v>
      </c>
      <c r="G5" s="146">
        <v>55000</v>
      </c>
      <c r="H5" s="146">
        <v>0</v>
      </c>
      <c r="I5" s="8"/>
      <c r="J5" s="92">
        <f>SUM(E5:G5)-H5</f>
        <v>55000</v>
      </c>
    </row>
    <row r="6" spans="2:10" x14ac:dyDescent="0.25">
      <c r="B6" s="46"/>
      <c r="C6" s="47">
        <v>2</v>
      </c>
      <c r="D6" s="7" t="s">
        <v>62</v>
      </c>
      <c r="E6" s="146">
        <v>0</v>
      </c>
      <c r="F6" s="146">
        <v>0</v>
      </c>
      <c r="G6" s="146">
        <v>26000</v>
      </c>
      <c r="H6" s="146">
        <v>0</v>
      </c>
      <c r="I6" s="8"/>
      <c r="J6" s="92">
        <f t="shared" ref="J6:J10" si="0">SUM(E6:G6)-H6</f>
        <v>26000</v>
      </c>
    </row>
    <row r="7" spans="2:10" x14ac:dyDescent="0.25">
      <c r="B7" s="46"/>
      <c r="C7" s="47">
        <v>3</v>
      </c>
      <c r="D7" s="7" t="s">
        <v>63</v>
      </c>
      <c r="E7" s="146">
        <v>0</v>
      </c>
      <c r="F7" s="146">
        <v>0</v>
      </c>
      <c r="G7" s="146">
        <v>30000</v>
      </c>
      <c r="H7" s="146">
        <v>0</v>
      </c>
      <c r="I7" s="8"/>
      <c r="J7" s="92">
        <f t="shared" si="0"/>
        <v>30000</v>
      </c>
    </row>
    <row r="8" spans="2:10" x14ac:dyDescent="0.25">
      <c r="B8" s="46"/>
      <c r="C8" s="47">
        <v>4</v>
      </c>
      <c r="D8" s="7" t="s">
        <v>64</v>
      </c>
      <c r="E8" s="146">
        <v>0</v>
      </c>
      <c r="F8" s="146">
        <v>0</v>
      </c>
      <c r="G8" s="146">
        <v>30000</v>
      </c>
      <c r="H8" s="146">
        <v>0</v>
      </c>
      <c r="I8" s="8"/>
      <c r="J8" s="92">
        <f t="shared" si="0"/>
        <v>30000</v>
      </c>
    </row>
    <row r="9" spans="2:10" x14ac:dyDescent="0.25">
      <c r="B9" s="46"/>
      <c r="C9" s="47"/>
      <c r="D9" s="7"/>
      <c r="E9" s="146">
        <v>0</v>
      </c>
      <c r="F9" s="146">
        <v>0</v>
      </c>
      <c r="G9" s="146">
        <v>0</v>
      </c>
      <c r="H9" s="146">
        <v>0</v>
      </c>
      <c r="I9" s="8"/>
      <c r="J9" s="92">
        <f t="shared" ref="J9" si="1">SUM(E9:G9)-H9</f>
        <v>0</v>
      </c>
    </row>
    <row r="10" spans="2:10" x14ac:dyDescent="0.25">
      <c r="B10" s="46"/>
      <c r="C10" s="47"/>
      <c r="D10" s="7"/>
      <c r="E10" s="146">
        <v>0</v>
      </c>
      <c r="F10" s="146">
        <v>0</v>
      </c>
      <c r="G10" s="146">
        <v>0</v>
      </c>
      <c r="H10" s="146">
        <v>0</v>
      </c>
      <c r="I10" s="8"/>
      <c r="J10" s="92">
        <f t="shared" si="0"/>
        <v>0</v>
      </c>
    </row>
    <row r="11" spans="2:10" x14ac:dyDescent="0.25">
      <c r="B11" s="46"/>
      <c r="C11" s="47"/>
      <c r="D11" s="45" t="s">
        <v>22</v>
      </c>
      <c r="E11" s="92">
        <f>+SUM(E5:E10)</f>
        <v>0</v>
      </c>
      <c r="F11" s="92">
        <f>+SUM(F5:F10)</f>
        <v>0</v>
      </c>
      <c r="G11" s="92">
        <f>+SUM(G5:G10)</f>
        <v>141000</v>
      </c>
      <c r="H11" s="92">
        <f>+SUM(H5:H10)</f>
        <v>0</v>
      </c>
      <c r="I11" s="92"/>
      <c r="J11" s="92">
        <f>+SUM(J5:J10)</f>
        <v>141000</v>
      </c>
    </row>
    <row r="12" spans="2:10" s="5" customFormat="1" x14ac:dyDescent="0.25">
      <c r="B12" s="131"/>
      <c r="C12" s="132"/>
      <c r="D12" s="111" t="s">
        <v>29</v>
      </c>
      <c r="E12" s="9">
        <f>+E11</f>
        <v>0</v>
      </c>
      <c r="F12" s="9">
        <f t="shared" ref="F12:J12" si="2">+F11</f>
        <v>0</v>
      </c>
      <c r="G12" s="9">
        <f t="shared" si="2"/>
        <v>141000</v>
      </c>
      <c r="H12" s="9">
        <f t="shared" ref="H12" si="3">+H11</f>
        <v>0</v>
      </c>
      <c r="I12" s="9"/>
      <c r="J12" s="9">
        <f t="shared" si="2"/>
        <v>141000</v>
      </c>
    </row>
    <row r="13" spans="2:10" s="14" customFormat="1" x14ac:dyDescent="0.25">
      <c r="B13" s="10"/>
      <c r="C13" s="11"/>
      <c r="D13" s="12"/>
      <c r="E13" s="13"/>
      <c r="F13" s="13"/>
      <c r="G13" s="13"/>
      <c r="H13" s="13"/>
      <c r="I13" s="13"/>
      <c r="J13" s="13"/>
    </row>
    <row r="14" spans="2:10" x14ac:dyDescent="0.25">
      <c r="B14" s="187" t="s">
        <v>3</v>
      </c>
      <c r="C14" s="188"/>
      <c r="D14" s="188"/>
      <c r="E14" s="21"/>
      <c r="F14" s="21"/>
      <c r="G14" s="21"/>
      <c r="H14" s="21"/>
      <c r="I14" s="21"/>
      <c r="J14" s="21"/>
    </row>
    <row r="15" spans="2:10" s="5" customFormat="1" x14ac:dyDescent="0.25">
      <c r="B15" s="39"/>
      <c r="C15" s="40" t="s">
        <v>2</v>
      </c>
      <c r="D15" s="91" t="s">
        <v>1</v>
      </c>
      <c r="E15" s="4" t="s">
        <v>4</v>
      </c>
      <c r="F15" s="4" t="s">
        <v>18</v>
      </c>
      <c r="G15" s="4" t="s">
        <v>19</v>
      </c>
      <c r="H15" s="4" t="s">
        <v>44</v>
      </c>
      <c r="I15" s="4" t="s">
        <v>20</v>
      </c>
      <c r="J15" s="4" t="s">
        <v>21</v>
      </c>
    </row>
    <row r="16" spans="2:10" x14ac:dyDescent="0.25">
      <c r="B16" s="46"/>
      <c r="C16" s="47">
        <v>1</v>
      </c>
      <c r="D16" s="7" t="s">
        <v>118</v>
      </c>
      <c r="E16" s="146">
        <v>0</v>
      </c>
      <c r="F16" s="146">
        <f>3000+750+400+500+400</f>
        <v>5050</v>
      </c>
      <c r="G16" s="146">
        <v>0</v>
      </c>
      <c r="H16" s="146">
        <v>0</v>
      </c>
      <c r="I16" s="8"/>
      <c r="J16" s="92">
        <f t="shared" ref="J16:J22" si="4">SUM(E16:G16)-H16</f>
        <v>5050</v>
      </c>
    </row>
    <row r="17" spans="2:10" x14ac:dyDescent="0.25">
      <c r="B17" s="46"/>
      <c r="C17" s="47">
        <v>2</v>
      </c>
      <c r="D17" s="7" t="s">
        <v>119</v>
      </c>
      <c r="E17" s="146">
        <v>0</v>
      </c>
      <c r="F17" s="146">
        <v>0</v>
      </c>
      <c r="G17" s="146">
        <v>25000</v>
      </c>
      <c r="H17" s="146">
        <v>0</v>
      </c>
      <c r="I17" s="8"/>
      <c r="J17" s="92">
        <f t="shared" ref="J17" si="5">SUM(E17:G17)-H17</f>
        <v>25000</v>
      </c>
    </row>
    <row r="18" spans="2:10" x14ac:dyDescent="0.25">
      <c r="B18" s="46"/>
      <c r="C18" s="47">
        <v>3</v>
      </c>
      <c r="D18" s="7" t="s">
        <v>50</v>
      </c>
      <c r="E18" s="146">
        <v>0</v>
      </c>
      <c r="F18" s="146">
        <v>0</v>
      </c>
      <c r="G18" s="146">
        <v>30000</v>
      </c>
      <c r="H18" s="146">
        <v>0</v>
      </c>
      <c r="I18" s="8"/>
      <c r="J18" s="92">
        <f t="shared" ref="J18" si="6">SUM(E18:G18)-H18</f>
        <v>30000</v>
      </c>
    </row>
    <row r="19" spans="2:10" x14ac:dyDescent="0.25">
      <c r="B19" s="46"/>
      <c r="C19" s="47">
        <v>4</v>
      </c>
      <c r="D19" s="7" t="s">
        <v>120</v>
      </c>
      <c r="E19" s="146">
        <v>0</v>
      </c>
      <c r="F19" s="146">
        <v>0</v>
      </c>
      <c r="G19" s="146">
        <v>25000</v>
      </c>
      <c r="H19" s="146">
        <v>0</v>
      </c>
      <c r="I19" s="8"/>
      <c r="J19" s="92">
        <f t="shared" ref="J19" si="7">SUM(E19:G19)-H19</f>
        <v>25000</v>
      </c>
    </row>
    <row r="20" spans="2:10" x14ac:dyDescent="0.25">
      <c r="B20" s="46"/>
      <c r="C20" s="47">
        <v>5</v>
      </c>
      <c r="D20" s="7" t="s">
        <v>121</v>
      </c>
      <c r="E20" s="146">
        <v>9000</v>
      </c>
      <c r="F20" s="146">
        <v>0</v>
      </c>
      <c r="G20" s="146">
        <v>0</v>
      </c>
      <c r="H20" s="146">
        <v>0</v>
      </c>
      <c r="I20" s="8"/>
      <c r="J20" s="92">
        <f t="shared" ref="J20" si="8">SUM(E20:G20)-H20</f>
        <v>9000</v>
      </c>
    </row>
    <row r="21" spans="2:10" x14ac:dyDescent="0.25">
      <c r="B21" s="46"/>
      <c r="C21" s="47"/>
      <c r="D21" s="7"/>
      <c r="E21" s="146">
        <v>0</v>
      </c>
      <c r="F21" s="146">
        <v>0</v>
      </c>
      <c r="G21" s="146">
        <v>0</v>
      </c>
      <c r="H21" s="146">
        <v>0</v>
      </c>
      <c r="I21" s="8"/>
      <c r="J21" s="92">
        <f t="shared" ref="J21" si="9">SUM(E21:G21)-H21</f>
        <v>0</v>
      </c>
    </row>
    <row r="22" spans="2:10" x14ac:dyDescent="0.25">
      <c r="B22" s="46"/>
      <c r="C22" s="47"/>
      <c r="D22" s="7"/>
      <c r="E22" s="146">
        <v>0</v>
      </c>
      <c r="F22" s="146">
        <v>0</v>
      </c>
      <c r="G22" s="146">
        <v>0</v>
      </c>
      <c r="H22" s="146">
        <v>0</v>
      </c>
      <c r="I22" s="8"/>
      <c r="J22" s="92">
        <f t="shared" si="4"/>
        <v>0</v>
      </c>
    </row>
    <row r="23" spans="2:10" x14ac:dyDescent="0.25">
      <c r="B23" s="85"/>
      <c r="C23" s="86"/>
      <c r="D23" s="45" t="s">
        <v>22</v>
      </c>
      <c r="E23" s="92">
        <f>+SUM(E16:E22)</f>
        <v>9000</v>
      </c>
      <c r="F23" s="92">
        <f>+SUM(F16:F22)</f>
        <v>5050</v>
      </c>
      <c r="G23" s="92">
        <f>+SUM(G16:G22)</f>
        <v>80000</v>
      </c>
      <c r="H23" s="92">
        <f>+SUM(H16:H22)</f>
        <v>0</v>
      </c>
      <c r="I23" s="92"/>
      <c r="J23" s="92">
        <f>+SUM(J16:J22)</f>
        <v>94050</v>
      </c>
    </row>
    <row r="24" spans="2:10" s="5" customFormat="1" x14ac:dyDescent="0.25">
      <c r="B24" s="79"/>
      <c r="C24" s="80"/>
      <c r="D24" s="112" t="s">
        <v>27</v>
      </c>
      <c r="E24" s="22">
        <f>SUM(E23)</f>
        <v>9000</v>
      </c>
      <c r="F24" s="22">
        <f t="shared" ref="F24:J24" si="10">SUM(F23)</f>
        <v>5050</v>
      </c>
      <c r="G24" s="22">
        <f t="shared" si="10"/>
        <v>80000</v>
      </c>
      <c r="H24" s="22">
        <f t="shared" ref="H24" si="11">SUM(H23)</f>
        <v>0</v>
      </c>
      <c r="I24" s="22"/>
      <c r="J24" s="22">
        <f t="shared" si="10"/>
        <v>94050</v>
      </c>
    </row>
    <row r="25" spans="2:10" s="14" customFormat="1" x14ac:dyDescent="0.25">
      <c r="B25" s="10"/>
      <c r="C25" s="11"/>
      <c r="D25" s="12"/>
      <c r="E25" s="13"/>
      <c r="F25" s="13"/>
      <c r="G25" s="13"/>
      <c r="H25" s="13"/>
      <c r="I25" s="13"/>
      <c r="J25" s="13"/>
    </row>
    <row r="26" spans="2:10" x14ac:dyDescent="0.25">
      <c r="B26" s="185" t="s">
        <v>0</v>
      </c>
      <c r="C26" s="186"/>
      <c r="D26" s="186"/>
      <c r="E26" s="19"/>
      <c r="F26" s="19"/>
      <c r="G26" s="19"/>
      <c r="H26" s="19"/>
      <c r="I26" s="19"/>
      <c r="J26" s="19"/>
    </row>
    <row r="27" spans="2:10" s="5" customFormat="1" x14ac:dyDescent="0.25">
      <c r="B27" s="39"/>
      <c r="C27" s="40" t="s">
        <v>2</v>
      </c>
      <c r="D27" s="91" t="s">
        <v>1</v>
      </c>
      <c r="E27" s="4" t="s">
        <v>4</v>
      </c>
      <c r="F27" s="4" t="s">
        <v>18</v>
      </c>
      <c r="G27" s="4" t="s">
        <v>19</v>
      </c>
      <c r="H27" s="4" t="s">
        <v>44</v>
      </c>
      <c r="I27" s="4" t="s">
        <v>20</v>
      </c>
      <c r="J27" s="4" t="s">
        <v>21</v>
      </c>
    </row>
    <row r="28" spans="2:10" x14ac:dyDescent="0.25">
      <c r="B28" s="46"/>
      <c r="C28" s="47">
        <v>1</v>
      </c>
      <c r="D28" s="7" t="s">
        <v>122</v>
      </c>
      <c r="E28" s="146">
        <v>0</v>
      </c>
      <c r="F28" s="146">
        <v>0</v>
      </c>
      <c r="G28" s="146">
        <v>15000</v>
      </c>
      <c r="H28" s="146">
        <v>0</v>
      </c>
      <c r="I28" s="105"/>
      <c r="J28" s="92">
        <f t="shared" ref="J28:J32" si="12">SUM(E28:G28)-H28</f>
        <v>15000</v>
      </c>
    </row>
    <row r="29" spans="2:10" x14ac:dyDescent="0.25">
      <c r="B29" s="46"/>
      <c r="C29" s="47">
        <v>2</v>
      </c>
      <c r="D29" s="7" t="s">
        <v>121</v>
      </c>
      <c r="E29" s="146">
        <v>13500</v>
      </c>
      <c r="F29" s="146">
        <v>0</v>
      </c>
      <c r="G29" s="146">
        <v>0</v>
      </c>
      <c r="H29" s="146">
        <v>0</v>
      </c>
      <c r="I29" s="105"/>
      <c r="J29" s="92">
        <f t="shared" ref="J29:J31" si="13">SUM(E29:G29)-H29</f>
        <v>13500</v>
      </c>
    </row>
    <row r="30" spans="2:10" x14ac:dyDescent="0.25">
      <c r="B30" s="46"/>
      <c r="C30" s="47">
        <v>3</v>
      </c>
      <c r="D30" s="7" t="s">
        <v>123</v>
      </c>
      <c r="E30" s="146">
        <v>0</v>
      </c>
      <c r="F30" s="146">
        <f>1100+1000+1000</f>
        <v>3100</v>
      </c>
      <c r="G30" s="146">
        <v>0</v>
      </c>
      <c r="H30" s="146">
        <v>0</v>
      </c>
      <c r="I30" s="105"/>
      <c r="J30" s="92">
        <f t="shared" si="13"/>
        <v>3100</v>
      </c>
    </row>
    <row r="31" spans="2:10" x14ac:dyDescent="0.25">
      <c r="B31" s="46"/>
      <c r="C31" s="47"/>
      <c r="D31" s="7"/>
      <c r="E31" s="146">
        <v>0</v>
      </c>
      <c r="F31" s="146">
        <v>0</v>
      </c>
      <c r="G31" s="146">
        <v>0</v>
      </c>
      <c r="H31" s="146">
        <v>0</v>
      </c>
      <c r="I31" s="105"/>
      <c r="J31" s="92">
        <f t="shared" si="13"/>
        <v>0</v>
      </c>
    </row>
    <row r="32" spans="2:10" x14ac:dyDescent="0.25">
      <c r="B32" s="46"/>
      <c r="C32" s="47"/>
      <c r="D32" s="7"/>
      <c r="E32" s="146">
        <v>0</v>
      </c>
      <c r="F32" s="146">
        <v>0</v>
      </c>
      <c r="G32" s="146">
        <v>0</v>
      </c>
      <c r="H32" s="146">
        <v>0</v>
      </c>
      <c r="I32" s="105"/>
      <c r="J32" s="92">
        <f t="shared" si="12"/>
        <v>0</v>
      </c>
    </row>
    <row r="33" spans="2:10" x14ac:dyDescent="0.25">
      <c r="B33" s="85"/>
      <c r="C33" s="86"/>
      <c r="D33" s="45" t="s">
        <v>22</v>
      </c>
      <c r="E33" s="92">
        <f>+SUM(E28:E32)</f>
        <v>13500</v>
      </c>
      <c r="F33" s="92">
        <f>+SUM(F28:F32)</f>
        <v>3100</v>
      </c>
      <c r="G33" s="92">
        <f>+SUM(G28:G32)</f>
        <v>15000</v>
      </c>
      <c r="H33" s="92">
        <f>+SUM(H28:H32)</f>
        <v>0</v>
      </c>
      <c r="I33" s="92"/>
      <c r="J33" s="92">
        <f>+SUM(J28:J32)</f>
        <v>31600</v>
      </c>
    </row>
    <row r="34" spans="2:10" s="5" customFormat="1" x14ac:dyDescent="0.25">
      <c r="B34" s="81"/>
      <c r="C34" s="82"/>
      <c r="D34" s="113" t="s">
        <v>28</v>
      </c>
      <c r="E34" s="20">
        <f>+E33</f>
        <v>13500</v>
      </c>
      <c r="F34" s="20">
        <f t="shared" ref="F34:J34" si="14">+F33</f>
        <v>3100</v>
      </c>
      <c r="G34" s="20">
        <f t="shared" si="14"/>
        <v>15000</v>
      </c>
      <c r="H34" s="20">
        <f>+H33</f>
        <v>0</v>
      </c>
      <c r="I34" s="20"/>
      <c r="J34" s="20">
        <f t="shared" si="14"/>
        <v>31600</v>
      </c>
    </row>
    <row r="35" spans="2:10" s="14" customFormat="1" x14ac:dyDescent="0.25">
      <c r="B35" s="10"/>
      <c r="C35" s="11"/>
      <c r="D35" s="12"/>
      <c r="E35" s="13"/>
      <c r="F35" s="13"/>
      <c r="G35" s="13"/>
      <c r="H35" s="13"/>
      <c r="I35" s="13"/>
      <c r="J35" s="13"/>
    </row>
    <row r="36" spans="2:10" x14ac:dyDescent="0.25">
      <c r="B36" s="181" t="s">
        <v>12</v>
      </c>
      <c r="C36" s="182"/>
      <c r="D36" s="182"/>
      <c r="E36" s="15"/>
      <c r="F36" s="15"/>
      <c r="G36" s="15"/>
      <c r="H36" s="15"/>
      <c r="I36" s="15"/>
      <c r="J36" s="15"/>
    </row>
    <row r="37" spans="2:10" s="5" customFormat="1" x14ac:dyDescent="0.25">
      <c r="B37" s="39"/>
      <c r="C37" s="40" t="s">
        <v>2</v>
      </c>
      <c r="D37" s="91" t="s">
        <v>1</v>
      </c>
      <c r="E37" s="4" t="s">
        <v>4</v>
      </c>
      <c r="F37" s="4" t="s">
        <v>18</v>
      </c>
      <c r="G37" s="4" t="s">
        <v>19</v>
      </c>
      <c r="H37" s="4" t="s">
        <v>44</v>
      </c>
      <c r="I37" s="4" t="s">
        <v>20</v>
      </c>
      <c r="J37" s="4" t="s">
        <v>21</v>
      </c>
    </row>
    <row r="38" spans="2:10" x14ac:dyDescent="0.25">
      <c r="B38" s="46" t="s">
        <v>87</v>
      </c>
      <c r="C38" s="47">
        <v>1</v>
      </c>
      <c r="D38" s="7" t="s">
        <v>67</v>
      </c>
      <c r="E38" s="148">
        <v>10416.09375</v>
      </c>
      <c r="F38" s="146">
        <v>0</v>
      </c>
      <c r="G38" s="146">
        <v>0</v>
      </c>
      <c r="H38" s="146">
        <v>0</v>
      </c>
      <c r="I38" s="105"/>
      <c r="J38" s="92">
        <f t="shared" ref="J38:J43" si="15">SUM(E38:G38)-H38</f>
        <v>10416.09375</v>
      </c>
    </row>
    <row r="39" spans="2:10" x14ac:dyDescent="0.25">
      <c r="B39" s="46" t="s">
        <v>87</v>
      </c>
      <c r="C39" s="42">
        <v>2</v>
      </c>
      <c r="D39" s="7" t="s">
        <v>82</v>
      </c>
      <c r="E39" s="146">
        <v>0</v>
      </c>
      <c r="F39" s="146">
        <v>0</v>
      </c>
      <c r="G39" s="146">
        <f>1896.6+3761.15+4256</f>
        <v>9913.75</v>
      </c>
      <c r="H39" s="146">
        <v>0</v>
      </c>
      <c r="I39" s="105"/>
      <c r="J39" s="92">
        <f t="shared" si="15"/>
        <v>9913.75</v>
      </c>
    </row>
    <row r="40" spans="2:10" x14ac:dyDescent="0.25">
      <c r="B40" s="162"/>
      <c r="C40" s="163"/>
      <c r="D40" s="164"/>
      <c r="E40" s="165"/>
      <c r="F40" s="165"/>
      <c r="G40" s="165"/>
      <c r="H40" s="165"/>
      <c r="I40" s="166"/>
      <c r="J40" s="167"/>
    </row>
    <row r="41" spans="2:10" x14ac:dyDescent="0.25">
      <c r="B41" s="41" t="s">
        <v>83</v>
      </c>
      <c r="C41" s="42">
        <v>1</v>
      </c>
      <c r="D41" s="7" t="s">
        <v>86</v>
      </c>
      <c r="E41" s="146">
        <v>0</v>
      </c>
      <c r="F41" s="146">
        <v>0</v>
      </c>
      <c r="G41" s="146">
        <v>75000</v>
      </c>
      <c r="H41" s="146">
        <v>0</v>
      </c>
      <c r="I41" s="105"/>
      <c r="J41" s="92">
        <f t="shared" si="15"/>
        <v>75000</v>
      </c>
    </row>
    <row r="42" spans="2:10" x14ac:dyDescent="0.25">
      <c r="B42" s="41"/>
      <c r="C42" s="42"/>
      <c r="D42" s="7"/>
      <c r="E42" s="146">
        <v>0</v>
      </c>
      <c r="F42" s="146">
        <v>0</v>
      </c>
      <c r="G42" s="146">
        <v>0</v>
      </c>
      <c r="H42" s="146">
        <v>0</v>
      </c>
      <c r="I42" s="105"/>
      <c r="J42" s="92">
        <f>SUM(E42:G42)-H42</f>
        <v>0</v>
      </c>
    </row>
    <row r="43" spans="2:10" x14ac:dyDescent="0.25">
      <c r="B43" s="46"/>
      <c r="C43" s="47"/>
      <c r="D43" s="7"/>
      <c r="E43" s="146">
        <v>0</v>
      </c>
      <c r="F43" s="146">
        <v>0</v>
      </c>
      <c r="G43" s="146">
        <v>0</v>
      </c>
      <c r="H43" s="146">
        <v>0</v>
      </c>
      <c r="I43" s="105"/>
      <c r="J43" s="92">
        <f t="shared" si="15"/>
        <v>0</v>
      </c>
    </row>
    <row r="44" spans="2:10" x14ac:dyDescent="0.25">
      <c r="B44" s="85"/>
      <c r="C44" s="86"/>
      <c r="D44" s="45" t="s">
        <v>22</v>
      </c>
      <c r="E44" s="92">
        <f>+SUM(E38:E43)</f>
        <v>10416.09375</v>
      </c>
      <c r="F44" s="92">
        <f>+SUM(F38:F43)</f>
        <v>0</v>
      </c>
      <c r="G44" s="92">
        <f>+SUM(G38:G43)</f>
        <v>84913.75</v>
      </c>
      <c r="H44" s="92">
        <f>+SUM(H38:H43)</f>
        <v>0</v>
      </c>
      <c r="I44" s="92"/>
      <c r="J44" s="92">
        <f>+SUM(J38:J43)</f>
        <v>95329.84375</v>
      </c>
    </row>
    <row r="45" spans="2:10" s="5" customFormat="1" x14ac:dyDescent="0.25">
      <c r="B45" s="87"/>
      <c r="C45" s="88"/>
      <c r="D45" s="114" t="s">
        <v>26</v>
      </c>
      <c r="E45" s="16">
        <f>+E44</f>
        <v>10416.09375</v>
      </c>
      <c r="F45" s="16">
        <f t="shared" ref="F45:G45" si="16">+F44</f>
        <v>0</v>
      </c>
      <c r="G45" s="16">
        <f t="shared" si="16"/>
        <v>84913.75</v>
      </c>
      <c r="H45" s="16">
        <f t="shared" ref="H45" si="17">+H44</f>
        <v>0</v>
      </c>
      <c r="I45" s="16"/>
      <c r="J45" s="16">
        <f>+J44</f>
        <v>95329.84375</v>
      </c>
    </row>
    <row r="46" spans="2:10" s="14" customFormat="1" x14ac:dyDescent="0.25">
      <c r="B46" s="10"/>
      <c r="C46" s="11"/>
      <c r="D46" s="12"/>
      <c r="E46" s="13"/>
      <c r="F46" s="13"/>
      <c r="G46" s="13"/>
      <c r="H46" s="13"/>
      <c r="I46" s="13"/>
      <c r="J46" s="13"/>
    </row>
    <row r="47" spans="2:10" x14ac:dyDescent="0.25">
      <c r="B47" s="183" t="s">
        <v>13</v>
      </c>
      <c r="C47" s="184"/>
      <c r="D47" s="184"/>
      <c r="E47" s="17"/>
      <c r="F47" s="17"/>
      <c r="G47" s="17"/>
      <c r="H47" s="17"/>
      <c r="I47" s="17"/>
      <c r="J47" s="17"/>
    </row>
    <row r="48" spans="2:10" s="5" customFormat="1" x14ac:dyDescent="0.25">
      <c r="B48" s="39"/>
      <c r="C48" s="40" t="s">
        <v>2</v>
      </c>
      <c r="D48" s="91" t="s">
        <v>1</v>
      </c>
      <c r="E48" s="4" t="s">
        <v>4</v>
      </c>
      <c r="F48" s="4" t="s">
        <v>18</v>
      </c>
      <c r="G48" s="4" t="s">
        <v>19</v>
      </c>
      <c r="H48" s="4" t="s">
        <v>44</v>
      </c>
      <c r="I48" s="4" t="s">
        <v>20</v>
      </c>
      <c r="J48" s="4" t="s">
        <v>21</v>
      </c>
    </row>
    <row r="49" spans="2:10" x14ac:dyDescent="0.25">
      <c r="B49" s="46" t="s">
        <v>108</v>
      </c>
      <c r="C49" s="47">
        <v>1</v>
      </c>
      <c r="D49" s="7" t="s">
        <v>76</v>
      </c>
      <c r="E49" s="146">
        <v>22050</v>
      </c>
      <c r="F49" s="146">
        <v>0</v>
      </c>
      <c r="G49" s="146">
        <v>0</v>
      </c>
      <c r="H49" s="146">
        <v>0</v>
      </c>
      <c r="I49" s="8"/>
      <c r="J49" s="92">
        <f t="shared" ref="J49:J58" si="18">SUM(E49:G49)-H49</f>
        <v>22050</v>
      </c>
    </row>
    <row r="50" spans="2:10" x14ac:dyDescent="0.25">
      <c r="B50" s="46" t="s">
        <v>109</v>
      </c>
      <c r="C50" s="47">
        <v>1</v>
      </c>
      <c r="D50" s="7" t="s">
        <v>77</v>
      </c>
      <c r="E50" s="146">
        <v>25200</v>
      </c>
      <c r="F50" s="146">
        <v>0</v>
      </c>
      <c r="G50" s="146">
        <v>0</v>
      </c>
      <c r="H50" s="146">
        <v>0</v>
      </c>
      <c r="I50" s="8"/>
      <c r="J50" s="92">
        <f t="shared" ref="J50:J51" si="19">SUM(E50:G50)-H50</f>
        <v>25200</v>
      </c>
    </row>
    <row r="51" spans="2:10" x14ac:dyDescent="0.25">
      <c r="B51" s="46" t="s">
        <v>108</v>
      </c>
      <c r="C51" s="47">
        <v>1</v>
      </c>
      <c r="D51" s="7" t="s">
        <v>74</v>
      </c>
      <c r="E51" s="146">
        <f>3434+4255</f>
        <v>7689</v>
      </c>
      <c r="F51" s="146">
        <v>0</v>
      </c>
      <c r="G51" s="146">
        <v>0</v>
      </c>
      <c r="H51" s="146">
        <v>0</v>
      </c>
      <c r="I51" s="8"/>
      <c r="J51" s="92">
        <f t="shared" si="19"/>
        <v>7689</v>
      </c>
    </row>
    <row r="52" spans="2:10" x14ac:dyDescent="0.25">
      <c r="B52" s="46" t="s">
        <v>109</v>
      </c>
      <c r="C52" s="47">
        <v>1</v>
      </c>
      <c r="D52" s="7" t="s">
        <v>75</v>
      </c>
      <c r="E52" s="146">
        <f>2540+3364</f>
        <v>5904</v>
      </c>
      <c r="F52" s="146">
        <v>0</v>
      </c>
      <c r="G52" s="146">
        <v>0</v>
      </c>
      <c r="H52" s="146">
        <v>0</v>
      </c>
      <c r="I52" s="8"/>
      <c r="J52" s="92">
        <f t="shared" si="18"/>
        <v>5904</v>
      </c>
    </row>
    <row r="53" spans="2:10" x14ac:dyDescent="0.25">
      <c r="B53" s="46" t="s">
        <v>108</v>
      </c>
      <c r="C53" s="109">
        <v>2</v>
      </c>
      <c r="D53" s="7" t="s">
        <v>78</v>
      </c>
      <c r="E53" s="146">
        <v>0</v>
      </c>
      <c r="F53" s="146">
        <v>0</v>
      </c>
      <c r="G53" s="146">
        <v>30000</v>
      </c>
      <c r="H53" s="146">
        <v>0</v>
      </c>
      <c r="I53" s="8"/>
      <c r="J53" s="92">
        <f t="shared" ref="J53:J57" si="20">SUM(E53:G53)-H53</f>
        <v>30000</v>
      </c>
    </row>
    <row r="54" spans="2:10" x14ac:dyDescent="0.25">
      <c r="B54" s="46" t="s">
        <v>109</v>
      </c>
      <c r="C54" s="109">
        <v>3</v>
      </c>
      <c r="D54" s="7" t="s">
        <v>79</v>
      </c>
      <c r="E54" s="146">
        <v>0</v>
      </c>
      <c r="F54" s="146">
        <v>10500</v>
      </c>
      <c r="G54" s="146">
        <v>0</v>
      </c>
      <c r="H54" s="146">
        <v>0</v>
      </c>
      <c r="I54" s="8"/>
      <c r="J54" s="92">
        <f t="shared" si="20"/>
        <v>10500</v>
      </c>
    </row>
    <row r="55" spans="2:10" x14ac:dyDescent="0.25">
      <c r="B55" s="46" t="s">
        <v>108</v>
      </c>
      <c r="C55" s="109">
        <v>4</v>
      </c>
      <c r="D55" s="7" t="s">
        <v>80</v>
      </c>
      <c r="E55" s="146">
        <v>0</v>
      </c>
      <c r="F55" s="146">
        <f>10000+5000+12000+5000+5000+1800+1000</f>
        <v>39800</v>
      </c>
      <c r="G55" s="146">
        <v>0</v>
      </c>
      <c r="H55" s="146">
        <v>0</v>
      </c>
      <c r="I55" s="8"/>
      <c r="J55" s="92">
        <f t="shared" si="20"/>
        <v>39800</v>
      </c>
    </row>
    <row r="56" spans="2:10" x14ac:dyDescent="0.25">
      <c r="B56" s="46" t="s">
        <v>109</v>
      </c>
      <c r="C56" s="109">
        <v>4</v>
      </c>
      <c r="D56" s="7" t="s">
        <v>81</v>
      </c>
      <c r="E56" s="146">
        <v>0</v>
      </c>
      <c r="F56" s="146">
        <f>2500+5000+5000+10000+5000+2500+1800+1000</f>
        <v>32800</v>
      </c>
      <c r="G56" s="146">
        <v>0</v>
      </c>
      <c r="H56" s="146">
        <v>0</v>
      </c>
      <c r="I56" s="8"/>
      <c r="J56" s="92">
        <f t="shared" si="20"/>
        <v>32800</v>
      </c>
    </row>
    <row r="57" spans="2:10" x14ac:dyDescent="0.25">
      <c r="B57" s="46"/>
      <c r="C57" s="109"/>
      <c r="D57" s="7"/>
      <c r="E57" s="146">
        <v>0</v>
      </c>
      <c r="F57" s="146">
        <v>0</v>
      </c>
      <c r="G57" s="146">
        <v>0</v>
      </c>
      <c r="H57" s="146">
        <v>0</v>
      </c>
      <c r="I57" s="8"/>
      <c r="J57" s="92">
        <f t="shared" si="20"/>
        <v>0</v>
      </c>
    </row>
    <row r="58" spans="2:10" x14ac:dyDescent="0.25">
      <c r="B58" s="46"/>
      <c r="C58" s="109"/>
      <c r="D58" s="7"/>
      <c r="E58" s="146">
        <v>0</v>
      </c>
      <c r="F58" s="146">
        <v>0</v>
      </c>
      <c r="G58" s="146">
        <v>0</v>
      </c>
      <c r="H58" s="146">
        <v>0</v>
      </c>
      <c r="I58" s="8"/>
      <c r="J58" s="92">
        <f t="shared" si="18"/>
        <v>0</v>
      </c>
    </row>
    <row r="59" spans="2:10" x14ac:dyDescent="0.25">
      <c r="B59" s="39"/>
      <c r="C59" s="110"/>
      <c r="D59" s="45" t="s">
        <v>22</v>
      </c>
      <c r="E59" s="92">
        <f>+SUM(E49:E58)</f>
        <v>60843</v>
      </c>
      <c r="F59" s="92">
        <f>+SUM(F49:F58)</f>
        <v>83100</v>
      </c>
      <c r="G59" s="92">
        <f>+SUM(G49:G58)</f>
        <v>30000</v>
      </c>
      <c r="H59" s="92">
        <f>+SUM(H49:H58)</f>
        <v>0</v>
      </c>
      <c r="I59" s="92"/>
      <c r="J59" s="92">
        <f>+SUM(J49:J58)</f>
        <v>173943</v>
      </c>
    </row>
    <row r="60" spans="2:10" s="5" customFormat="1" x14ac:dyDescent="0.25">
      <c r="B60" s="83"/>
      <c r="C60" s="84"/>
      <c r="D60" s="115" t="s">
        <v>25</v>
      </c>
      <c r="E60" s="18">
        <f>+E59</f>
        <v>60843</v>
      </c>
      <c r="F60" s="18">
        <f t="shared" ref="F60:G60" si="21">+F59</f>
        <v>83100</v>
      </c>
      <c r="G60" s="18">
        <f t="shared" si="21"/>
        <v>30000</v>
      </c>
      <c r="H60" s="18">
        <f t="shared" ref="H60" si="22">+H59</f>
        <v>0</v>
      </c>
      <c r="I60" s="18"/>
      <c r="J60" s="18">
        <f>+J59</f>
        <v>173943</v>
      </c>
    </row>
    <row r="61" spans="2:10" s="14" customFormat="1" x14ac:dyDescent="0.25">
      <c r="B61" s="10"/>
      <c r="C61" s="11"/>
      <c r="D61" s="12"/>
      <c r="E61" s="13"/>
      <c r="F61" s="13"/>
      <c r="G61" s="13"/>
      <c r="H61" s="13"/>
      <c r="I61" s="13"/>
      <c r="J61" s="13"/>
    </row>
    <row r="62" spans="2:10" x14ac:dyDescent="0.25">
      <c r="B62" s="191" t="s">
        <v>39</v>
      </c>
      <c r="C62" s="192"/>
      <c r="D62" s="192"/>
      <c r="E62" s="104"/>
      <c r="F62" s="104"/>
      <c r="G62" s="104"/>
      <c r="H62" s="104"/>
      <c r="I62" s="104"/>
      <c r="J62" s="104"/>
    </row>
    <row r="63" spans="2:10" s="5" customFormat="1" x14ac:dyDescent="0.25">
      <c r="B63" s="39"/>
      <c r="C63" s="40" t="s">
        <v>2</v>
      </c>
      <c r="D63" s="91" t="s">
        <v>1</v>
      </c>
      <c r="E63" s="4" t="s">
        <v>4</v>
      </c>
      <c r="F63" s="4" t="s">
        <v>18</v>
      </c>
      <c r="G63" s="4" t="s">
        <v>19</v>
      </c>
      <c r="H63" s="4" t="s">
        <v>44</v>
      </c>
      <c r="I63" s="4" t="s">
        <v>20</v>
      </c>
      <c r="J63" s="4" t="s">
        <v>21</v>
      </c>
    </row>
    <row r="64" spans="2:10" x14ac:dyDescent="0.25">
      <c r="B64" s="46"/>
      <c r="C64" s="47">
        <v>1</v>
      </c>
      <c r="D64" s="7" t="s">
        <v>184</v>
      </c>
      <c r="E64" s="148" t="s">
        <v>185</v>
      </c>
      <c r="F64" s="146">
        <v>0</v>
      </c>
      <c r="G64" s="146">
        <v>0</v>
      </c>
      <c r="H64" s="146">
        <v>0</v>
      </c>
      <c r="I64" s="105"/>
      <c r="J64" s="92">
        <f t="shared" ref="J64" si="23">SUM(E64:G64)-H64</f>
        <v>0</v>
      </c>
    </row>
    <row r="65" spans="2:10" x14ac:dyDescent="0.25">
      <c r="B65" s="46"/>
      <c r="C65" s="47">
        <v>2</v>
      </c>
      <c r="D65" s="7" t="s">
        <v>186</v>
      </c>
      <c r="E65" s="146">
        <v>0</v>
      </c>
      <c r="F65" s="148" t="s">
        <v>185</v>
      </c>
      <c r="G65" s="146">
        <v>0</v>
      </c>
      <c r="H65" s="146">
        <v>0</v>
      </c>
      <c r="I65" s="105"/>
      <c r="J65" s="92">
        <f t="shared" ref="J65" si="24">SUM(E65:G65)-H65</f>
        <v>0</v>
      </c>
    </row>
    <row r="66" spans="2:10" x14ac:dyDescent="0.25">
      <c r="B66" s="46"/>
      <c r="C66" s="47">
        <v>3</v>
      </c>
      <c r="D66" s="7" t="s">
        <v>187</v>
      </c>
      <c r="E66" s="146">
        <v>0</v>
      </c>
      <c r="F66" s="146">
        <f>4651.01+6336+4916.06</f>
        <v>15903.07</v>
      </c>
      <c r="G66" s="146">
        <v>0</v>
      </c>
      <c r="H66" s="146">
        <v>0</v>
      </c>
      <c r="I66" s="105"/>
      <c r="J66" s="92">
        <f t="shared" ref="J66:J67" si="25">SUM(E66:G66)-H66</f>
        <v>15903.07</v>
      </c>
    </row>
    <row r="67" spans="2:10" x14ac:dyDescent="0.25">
      <c r="B67" s="46"/>
      <c r="C67" s="47">
        <v>4</v>
      </c>
      <c r="D67" s="7" t="s">
        <v>51</v>
      </c>
      <c r="E67" s="146">
        <v>0</v>
      </c>
      <c r="F67" s="146">
        <v>5000</v>
      </c>
      <c r="G67" s="146">
        <v>0</v>
      </c>
      <c r="H67" s="146">
        <v>0</v>
      </c>
      <c r="I67" s="105"/>
      <c r="J67" s="92">
        <f t="shared" si="25"/>
        <v>5000</v>
      </c>
    </row>
    <row r="68" spans="2:10" x14ac:dyDescent="0.25">
      <c r="B68" s="46"/>
      <c r="C68" s="47">
        <v>5</v>
      </c>
      <c r="D68" s="7" t="s">
        <v>194</v>
      </c>
      <c r="E68" s="146">
        <v>42000</v>
      </c>
      <c r="F68" s="146">
        <v>0</v>
      </c>
      <c r="G68" s="146">
        <v>0</v>
      </c>
      <c r="H68" s="146">
        <v>0</v>
      </c>
      <c r="I68" s="105"/>
      <c r="J68" s="92">
        <f t="shared" ref="J68" si="26">SUM(E68:G68)-H68</f>
        <v>42000</v>
      </c>
    </row>
    <row r="69" spans="2:10" x14ac:dyDescent="0.25">
      <c r="B69" s="46"/>
      <c r="C69" s="47"/>
      <c r="D69" s="7"/>
      <c r="E69" s="146">
        <v>0</v>
      </c>
      <c r="F69" s="146">
        <v>0</v>
      </c>
      <c r="G69" s="146">
        <v>0</v>
      </c>
      <c r="H69" s="146">
        <v>0</v>
      </c>
      <c r="I69" s="105"/>
      <c r="J69" s="92">
        <f t="shared" ref="J69" si="27">SUM(E69:G69)-H69</f>
        <v>0</v>
      </c>
    </row>
    <row r="70" spans="2:10" x14ac:dyDescent="0.25">
      <c r="B70" s="46"/>
      <c r="C70" s="47"/>
      <c r="D70" s="7"/>
      <c r="E70" s="146">
        <v>0</v>
      </c>
      <c r="F70" s="146">
        <v>0</v>
      </c>
      <c r="G70" s="146">
        <v>0</v>
      </c>
      <c r="H70" s="146">
        <v>0</v>
      </c>
      <c r="I70" s="105"/>
      <c r="J70" s="92">
        <f t="shared" ref="J70" si="28">SUM(E70:G70)-H70</f>
        <v>0</v>
      </c>
    </row>
    <row r="71" spans="2:10" x14ac:dyDescent="0.25">
      <c r="B71" s="43"/>
      <c r="C71" s="44"/>
      <c r="D71" s="45" t="s">
        <v>22</v>
      </c>
      <c r="E71" s="92">
        <f t="shared" ref="E71:J71" si="29">+SUM(E64:E70)</f>
        <v>42000</v>
      </c>
      <c r="F71" s="92">
        <f t="shared" si="29"/>
        <v>20903.07</v>
      </c>
      <c r="G71" s="92">
        <f t="shared" si="29"/>
        <v>0</v>
      </c>
      <c r="H71" s="92">
        <f t="shared" si="29"/>
        <v>0</v>
      </c>
      <c r="I71" s="92">
        <f t="shared" si="29"/>
        <v>0</v>
      </c>
      <c r="J71" s="92">
        <f t="shared" si="29"/>
        <v>62903.07</v>
      </c>
    </row>
    <row r="72" spans="2:10" s="5" customFormat="1" x14ac:dyDescent="0.25">
      <c r="B72" s="103"/>
      <c r="C72" s="101"/>
      <c r="D72" s="116" t="s">
        <v>40</v>
      </c>
      <c r="E72" s="102">
        <f>+E71</f>
        <v>42000</v>
      </c>
      <c r="F72" s="102">
        <f t="shared" ref="F72:J72" si="30">+F71</f>
        <v>20903.07</v>
      </c>
      <c r="G72" s="102">
        <f t="shared" si="30"/>
        <v>0</v>
      </c>
      <c r="H72" s="102">
        <f t="shared" ref="H72" si="31">+H71</f>
        <v>0</v>
      </c>
      <c r="I72" s="102"/>
      <c r="J72" s="102">
        <f t="shared" si="30"/>
        <v>62903.07</v>
      </c>
    </row>
    <row r="73" spans="2:10" s="14" customFormat="1" x14ac:dyDescent="0.25">
      <c r="B73" s="23"/>
      <c r="C73" s="24"/>
      <c r="D73" s="25"/>
      <c r="E73" s="26"/>
      <c r="F73" s="26"/>
      <c r="G73" s="26"/>
      <c r="H73" s="26"/>
      <c r="I73" s="26"/>
      <c r="J73" s="26"/>
    </row>
    <row r="74" spans="2:10" x14ac:dyDescent="0.25">
      <c r="B74" s="195" t="s">
        <v>6</v>
      </c>
      <c r="C74" s="195"/>
      <c r="D74" s="195"/>
      <c r="E74" s="29"/>
      <c r="F74" s="29"/>
      <c r="G74" s="29"/>
      <c r="H74" s="29"/>
      <c r="I74" s="29"/>
      <c r="J74" s="29"/>
    </row>
    <row r="75" spans="2:10" s="5" customFormat="1" x14ac:dyDescent="0.25">
      <c r="B75" s="39"/>
      <c r="C75" s="40" t="s">
        <v>2</v>
      </c>
      <c r="D75" s="91" t="s">
        <v>1</v>
      </c>
      <c r="E75" s="4" t="s">
        <v>4</v>
      </c>
      <c r="F75" s="4" t="s">
        <v>18</v>
      </c>
      <c r="G75" s="4" t="s">
        <v>19</v>
      </c>
      <c r="H75" s="4" t="s">
        <v>44</v>
      </c>
      <c r="I75" s="4" t="s">
        <v>20</v>
      </c>
      <c r="J75" s="4" t="s">
        <v>21</v>
      </c>
    </row>
    <row r="76" spans="2:10" s="5" customFormat="1" x14ac:dyDescent="0.25">
      <c r="B76" s="46"/>
      <c r="C76" s="47">
        <v>1</v>
      </c>
      <c r="D76" s="6" t="s">
        <v>48</v>
      </c>
      <c r="E76" s="146">
        <v>0</v>
      </c>
      <c r="F76" s="146">
        <v>0</v>
      </c>
      <c r="G76" s="146">
        <v>90000</v>
      </c>
      <c r="H76" s="146">
        <v>0</v>
      </c>
      <c r="I76" s="108"/>
      <c r="J76" s="92">
        <f t="shared" ref="J76:J90" si="32">SUM(E76:G76)-H76</f>
        <v>90000</v>
      </c>
    </row>
    <row r="77" spans="2:10" s="5" customFormat="1" x14ac:dyDescent="0.25">
      <c r="B77" s="46"/>
      <c r="C77" s="47">
        <v>2</v>
      </c>
      <c r="D77" s="6" t="s">
        <v>143</v>
      </c>
      <c r="E77" s="146">
        <v>0</v>
      </c>
      <c r="F77" s="146">
        <v>55000</v>
      </c>
      <c r="G77" s="146">
        <v>0</v>
      </c>
      <c r="H77" s="146">
        <v>0</v>
      </c>
      <c r="I77" s="108"/>
      <c r="J77" s="92">
        <f t="shared" si="32"/>
        <v>55000</v>
      </c>
    </row>
    <row r="78" spans="2:10" s="5" customFormat="1" x14ac:dyDescent="0.25">
      <c r="B78" s="46"/>
      <c r="C78" s="47">
        <v>3</v>
      </c>
      <c r="D78" s="6" t="s">
        <v>144</v>
      </c>
      <c r="E78" s="146">
        <v>0</v>
      </c>
      <c r="F78" s="146">
        <v>33100</v>
      </c>
      <c r="G78" s="146">
        <v>0</v>
      </c>
      <c r="H78" s="146">
        <v>0</v>
      </c>
      <c r="I78" s="108"/>
      <c r="J78" s="92">
        <f t="shared" si="32"/>
        <v>33100</v>
      </c>
    </row>
    <row r="79" spans="2:10" s="5" customFormat="1" x14ac:dyDescent="0.25">
      <c r="B79" s="46"/>
      <c r="C79" s="47">
        <v>4</v>
      </c>
      <c r="D79" s="6" t="s">
        <v>49</v>
      </c>
      <c r="E79" s="146">
        <v>0</v>
      </c>
      <c r="F79" s="146">
        <v>0</v>
      </c>
      <c r="G79" s="146">
        <v>50000</v>
      </c>
      <c r="H79" s="146">
        <v>0</v>
      </c>
      <c r="I79" s="108"/>
      <c r="J79" s="92">
        <f t="shared" si="32"/>
        <v>50000</v>
      </c>
    </row>
    <row r="80" spans="2:10" s="5" customFormat="1" x14ac:dyDescent="0.25">
      <c r="B80" s="46"/>
      <c r="C80" s="47">
        <v>5</v>
      </c>
      <c r="D80" s="6" t="s">
        <v>145</v>
      </c>
      <c r="E80" s="146">
        <v>0</v>
      </c>
      <c r="F80" s="146">
        <v>14900</v>
      </c>
      <c r="G80" s="146">
        <v>0</v>
      </c>
      <c r="H80" s="146">
        <v>0</v>
      </c>
      <c r="I80" s="108"/>
      <c r="J80" s="92">
        <f t="shared" ref="J80:J82" si="33">SUM(E80:G80)-H80</f>
        <v>14900</v>
      </c>
    </row>
    <row r="81" spans="2:10" s="5" customFormat="1" x14ac:dyDescent="0.25">
      <c r="B81" s="46"/>
      <c r="C81" s="47">
        <v>6</v>
      </c>
      <c r="D81" s="6" t="s">
        <v>146</v>
      </c>
      <c r="E81" s="146">
        <v>0</v>
      </c>
      <c r="F81" s="146">
        <v>8000</v>
      </c>
      <c r="G81" s="146">
        <v>0</v>
      </c>
      <c r="H81" s="146">
        <v>0</v>
      </c>
      <c r="I81" s="108"/>
      <c r="J81" s="92">
        <f t="shared" si="33"/>
        <v>8000</v>
      </c>
    </row>
    <row r="82" spans="2:10" s="5" customFormat="1" x14ac:dyDescent="0.25">
      <c r="B82" s="46"/>
      <c r="C82" s="47">
        <v>7</v>
      </c>
      <c r="D82" s="6" t="s">
        <v>147</v>
      </c>
      <c r="E82" s="146">
        <v>0</v>
      </c>
      <c r="F82" s="146">
        <v>10000</v>
      </c>
      <c r="G82" s="146">
        <v>0</v>
      </c>
      <c r="H82" s="146">
        <v>0</v>
      </c>
      <c r="I82" s="108"/>
      <c r="J82" s="92">
        <f t="shared" si="33"/>
        <v>10000</v>
      </c>
    </row>
    <row r="83" spans="2:10" s="5" customFormat="1" x14ac:dyDescent="0.25">
      <c r="B83" s="46"/>
      <c r="C83" s="47">
        <v>8</v>
      </c>
      <c r="D83" s="6" t="s">
        <v>148</v>
      </c>
      <c r="E83" s="146">
        <v>12300</v>
      </c>
      <c r="F83" s="146">
        <v>0</v>
      </c>
      <c r="G83" s="146">
        <v>0</v>
      </c>
      <c r="H83" s="146">
        <v>0</v>
      </c>
      <c r="I83" s="108"/>
      <c r="J83" s="92">
        <f t="shared" ref="J83:J85" si="34">SUM(E83:G83)-H83</f>
        <v>12300</v>
      </c>
    </row>
    <row r="84" spans="2:10" s="5" customFormat="1" x14ac:dyDescent="0.25">
      <c r="B84" s="46"/>
      <c r="C84" s="47">
        <v>9</v>
      </c>
      <c r="D84" s="6" t="s">
        <v>149</v>
      </c>
      <c r="E84" s="146">
        <v>0</v>
      </c>
      <c r="F84" s="146">
        <v>3480</v>
      </c>
      <c r="G84" s="146">
        <v>0</v>
      </c>
      <c r="H84" s="146">
        <v>0</v>
      </c>
      <c r="I84" s="108"/>
      <c r="J84" s="92">
        <f t="shared" si="34"/>
        <v>3480</v>
      </c>
    </row>
    <row r="85" spans="2:10" s="5" customFormat="1" x14ac:dyDescent="0.25">
      <c r="B85" s="46"/>
      <c r="C85" s="47">
        <v>10</v>
      </c>
      <c r="D85" s="6" t="s">
        <v>150</v>
      </c>
      <c r="E85" s="146">
        <v>0</v>
      </c>
      <c r="F85" s="146">
        <v>4000</v>
      </c>
      <c r="G85" s="146">
        <v>0</v>
      </c>
      <c r="H85" s="146">
        <v>0</v>
      </c>
      <c r="I85" s="108"/>
      <c r="J85" s="92">
        <f t="shared" si="34"/>
        <v>4000</v>
      </c>
    </row>
    <row r="86" spans="2:10" s="5" customFormat="1" x14ac:dyDescent="0.25">
      <c r="B86" s="46"/>
      <c r="C86" s="47">
        <v>11</v>
      </c>
      <c r="D86" s="6" t="s">
        <v>151</v>
      </c>
      <c r="E86" s="146">
        <v>0</v>
      </c>
      <c r="F86" s="146">
        <v>4750</v>
      </c>
      <c r="G86" s="146">
        <v>0</v>
      </c>
      <c r="H86" s="146">
        <v>0</v>
      </c>
      <c r="I86" s="108"/>
      <c r="J86" s="92">
        <f t="shared" si="32"/>
        <v>4750</v>
      </c>
    </row>
    <row r="87" spans="2:10" s="5" customFormat="1" x14ac:dyDescent="0.25">
      <c r="B87" s="46"/>
      <c r="C87" s="47">
        <v>12</v>
      </c>
      <c r="D87" s="6" t="s">
        <v>152</v>
      </c>
      <c r="E87" s="146">
        <v>0</v>
      </c>
      <c r="F87" s="146">
        <v>2500</v>
      </c>
      <c r="G87" s="146">
        <v>0</v>
      </c>
      <c r="H87" s="146">
        <v>0</v>
      </c>
      <c r="I87" s="108"/>
      <c r="J87" s="92">
        <f t="shared" si="32"/>
        <v>2500</v>
      </c>
    </row>
    <row r="88" spans="2:10" s="5" customFormat="1" x14ac:dyDescent="0.25">
      <c r="B88" s="46"/>
      <c r="C88" s="47">
        <v>13</v>
      </c>
      <c r="D88" s="6" t="s">
        <v>153</v>
      </c>
      <c r="E88" s="146">
        <v>0</v>
      </c>
      <c r="F88" s="146">
        <v>500</v>
      </c>
      <c r="G88" s="146">
        <v>0</v>
      </c>
      <c r="H88" s="146">
        <v>0</v>
      </c>
      <c r="I88" s="108"/>
      <c r="J88" s="92">
        <f t="shared" si="32"/>
        <v>500</v>
      </c>
    </row>
    <row r="89" spans="2:10" s="5" customFormat="1" x14ac:dyDescent="0.25">
      <c r="B89" s="46"/>
      <c r="C89" s="47"/>
      <c r="D89" s="6"/>
      <c r="E89" s="146">
        <v>0</v>
      </c>
      <c r="F89" s="146">
        <v>0</v>
      </c>
      <c r="G89" s="146">
        <v>0</v>
      </c>
      <c r="H89" s="146">
        <v>0</v>
      </c>
      <c r="I89" s="108"/>
      <c r="J89" s="92">
        <f t="shared" ref="J89" si="35">SUM(E89:G89)-H89</f>
        <v>0</v>
      </c>
    </row>
    <row r="90" spans="2:10" s="5" customFormat="1" x14ac:dyDescent="0.25">
      <c r="B90" s="46"/>
      <c r="C90" s="47"/>
      <c r="D90" s="6"/>
      <c r="E90" s="146">
        <v>0</v>
      </c>
      <c r="F90" s="146">
        <v>0</v>
      </c>
      <c r="G90" s="146">
        <v>0</v>
      </c>
      <c r="H90" s="146">
        <v>0</v>
      </c>
      <c r="I90" s="108"/>
      <c r="J90" s="92">
        <f t="shared" si="32"/>
        <v>0</v>
      </c>
    </row>
    <row r="91" spans="2:10" x14ac:dyDescent="0.25">
      <c r="B91" s="43"/>
      <c r="C91" s="78"/>
      <c r="D91" s="45" t="s">
        <v>22</v>
      </c>
      <c r="E91" s="92">
        <f>+SUM(E76:E90)</f>
        <v>12300</v>
      </c>
      <c r="F91" s="92">
        <f>+SUM(F76:F90)</f>
        <v>136230</v>
      </c>
      <c r="G91" s="92">
        <f>+SUM(G76:G90)</f>
        <v>140000</v>
      </c>
      <c r="H91" s="92">
        <f>+SUM(H76:H90)</f>
        <v>0</v>
      </c>
      <c r="I91" s="92"/>
      <c r="J91" s="92">
        <f>+SUM(J76:J90)</f>
        <v>288530</v>
      </c>
    </row>
    <row r="92" spans="2:10" s="5" customFormat="1" x14ac:dyDescent="0.25">
      <c r="B92" s="76"/>
      <c r="C92" s="77"/>
      <c r="D92" s="117" t="s">
        <v>30</v>
      </c>
      <c r="E92" s="30">
        <f>+E91</f>
        <v>12300</v>
      </c>
      <c r="F92" s="30">
        <f t="shared" ref="F92:J92" si="36">+F91</f>
        <v>136230</v>
      </c>
      <c r="G92" s="30">
        <f t="shared" si="36"/>
        <v>140000</v>
      </c>
      <c r="H92" s="30">
        <f>+H91</f>
        <v>0</v>
      </c>
      <c r="I92" s="30"/>
      <c r="J92" s="30">
        <f t="shared" si="36"/>
        <v>288530</v>
      </c>
    </row>
    <row r="93" spans="2:10" s="14" customFormat="1" x14ac:dyDescent="0.25">
      <c r="B93" s="23"/>
      <c r="C93" s="24"/>
      <c r="D93" s="25"/>
      <c r="E93" s="26"/>
      <c r="F93" s="26"/>
      <c r="G93" s="26"/>
      <c r="H93" s="26"/>
      <c r="I93" s="26"/>
      <c r="J93" s="26"/>
    </row>
    <row r="94" spans="2:10" x14ac:dyDescent="0.25">
      <c r="B94" s="173" t="s">
        <v>7</v>
      </c>
      <c r="C94" s="174"/>
      <c r="D94" s="174"/>
      <c r="E94" s="31"/>
      <c r="F94" s="31"/>
      <c r="G94" s="31"/>
      <c r="H94" s="31"/>
      <c r="I94" s="31"/>
      <c r="J94" s="31"/>
    </row>
    <row r="95" spans="2:10" s="5" customFormat="1" x14ac:dyDescent="0.25">
      <c r="B95" s="39"/>
      <c r="C95" s="40" t="s">
        <v>2</v>
      </c>
      <c r="D95" s="91" t="s">
        <v>1</v>
      </c>
      <c r="E95" s="4" t="s">
        <v>4</v>
      </c>
      <c r="F95" s="4" t="s">
        <v>18</v>
      </c>
      <c r="G95" s="4" t="s">
        <v>19</v>
      </c>
      <c r="H95" s="4" t="s">
        <v>44</v>
      </c>
      <c r="I95" s="4" t="s">
        <v>20</v>
      </c>
      <c r="J95" s="4" t="s">
        <v>21</v>
      </c>
    </row>
    <row r="96" spans="2:10" x14ac:dyDescent="0.25">
      <c r="B96" s="46"/>
      <c r="C96" s="47">
        <v>1</v>
      </c>
      <c r="D96" s="7" t="s">
        <v>154</v>
      </c>
      <c r="E96" s="146">
        <v>0</v>
      </c>
      <c r="F96" s="146">
        <f>3097122-3025087</f>
        <v>72035</v>
      </c>
      <c r="G96" s="146">
        <v>0</v>
      </c>
      <c r="H96" s="146">
        <v>0</v>
      </c>
      <c r="I96" s="105"/>
      <c r="J96" s="92">
        <f t="shared" ref="J96:J104" si="37">SUM(E96:G96)-H96</f>
        <v>72035</v>
      </c>
    </row>
    <row r="97" spans="2:10" x14ac:dyDescent="0.25">
      <c r="B97" s="46"/>
      <c r="C97" s="47">
        <v>2</v>
      </c>
      <c r="D97" s="7" t="s">
        <v>57</v>
      </c>
      <c r="E97" s="146">
        <v>0</v>
      </c>
      <c r="F97" s="146">
        <v>0</v>
      </c>
      <c r="G97" s="146">
        <f>16000+150000</f>
        <v>166000</v>
      </c>
      <c r="H97" s="146">
        <v>0</v>
      </c>
      <c r="I97" s="105"/>
      <c r="J97" s="92">
        <f t="shared" si="37"/>
        <v>166000</v>
      </c>
    </row>
    <row r="98" spans="2:10" x14ac:dyDescent="0.25">
      <c r="B98" s="46"/>
      <c r="C98" s="47">
        <v>3</v>
      </c>
      <c r="D98" s="7" t="s">
        <v>155</v>
      </c>
      <c r="E98" s="146">
        <v>0</v>
      </c>
      <c r="F98" s="146">
        <v>-852000</v>
      </c>
      <c r="G98" s="146">
        <v>0</v>
      </c>
      <c r="H98" s="146">
        <v>0</v>
      </c>
      <c r="I98" s="105"/>
      <c r="J98" s="92">
        <f t="shared" si="37"/>
        <v>-852000</v>
      </c>
    </row>
    <row r="99" spans="2:10" x14ac:dyDescent="0.25">
      <c r="B99" s="46"/>
      <c r="C99" s="47">
        <v>4</v>
      </c>
      <c r="D99" s="7" t="s">
        <v>156</v>
      </c>
      <c r="E99" s="146">
        <v>0</v>
      </c>
      <c r="F99" s="146">
        <v>7750</v>
      </c>
      <c r="G99" s="146">
        <v>0</v>
      </c>
      <c r="H99" s="146">
        <v>0</v>
      </c>
      <c r="I99" s="105"/>
      <c r="J99" s="92">
        <f t="shared" ref="J99:J102" si="38">SUM(E99:G99)-H99</f>
        <v>7750</v>
      </c>
    </row>
    <row r="100" spans="2:10" x14ac:dyDescent="0.25">
      <c r="B100" s="46"/>
      <c r="C100" s="47">
        <v>5</v>
      </c>
      <c r="D100" s="7" t="s">
        <v>157</v>
      </c>
      <c r="E100" s="146">
        <v>0</v>
      </c>
      <c r="F100" s="146">
        <v>10000</v>
      </c>
      <c r="G100" s="146">
        <v>0</v>
      </c>
      <c r="H100" s="146">
        <v>0</v>
      </c>
      <c r="I100" s="105"/>
      <c r="J100" s="92">
        <f t="shared" ref="J100" si="39">SUM(E100:G100)-H100</f>
        <v>10000</v>
      </c>
    </row>
    <row r="101" spans="2:10" x14ac:dyDescent="0.25">
      <c r="B101" s="46"/>
      <c r="C101" s="47">
        <v>6</v>
      </c>
      <c r="D101" s="7" t="s">
        <v>158</v>
      </c>
      <c r="E101" s="146">
        <v>0</v>
      </c>
      <c r="F101" s="146">
        <v>7000</v>
      </c>
      <c r="G101" s="146">
        <v>0</v>
      </c>
      <c r="H101" s="146">
        <v>0</v>
      </c>
      <c r="I101" s="105"/>
      <c r="J101" s="92">
        <f t="shared" ref="J101" si="40">SUM(E101:G101)-H101</f>
        <v>7000</v>
      </c>
    </row>
    <row r="102" spans="2:10" x14ac:dyDescent="0.25">
      <c r="B102" s="46"/>
      <c r="C102" s="47">
        <v>7</v>
      </c>
      <c r="D102" s="7" t="s">
        <v>159</v>
      </c>
      <c r="E102" s="146">
        <v>0</v>
      </c>
      <c r="F102" s="146">
        <v>2000</v>
      </c>
      <c r="G102" s="146">
        <v>0</v>
      </c>
      <c r="H102" s="146">
        <v>0</v>
      </c>
      <c r="I102" s="105"/>
      <c r="J102" s="92">
        <f t="shared" si="38"/>
        <v>2000</v>
      </c>
    </row>
    <row r="103" spans="2:10" x14ac:dyDescent="0.25">
      <c r="B103" s="46"/>
      <c r="C103" s="47"/>
      <c r="D103" s="7"/>
      <c r="E103" s="146">
        <v>0</v>
      </c>
      <c r="F103" s="146">
        <v>0</v>
      </c>
      <c r="G103" s="146">
        <v>0</v>
      </c>
      <c r="H103" s="146">
        <v>0</v>
      </c>
      <c r="I103" s="105"/>
      <c r="J103" s="92">
        <f t="shared" ref="J103" si="41">SUM(E103:G103)-H103</f>
        <v>0</v>
      </c>
    </row>
    <row r="104" spans="2:10" x14ac:dyDescent="0.25">
      <c r="B104" s="46"/>
      <c r="C104" s="47"/>
      <c r="D104" s="7"/>
      <c r="E104" s="146">
        <v>0</v>
      </c>
      <c r="F104" s="146">
        <v>0</v>
      </c>
      <c r="G104" s="146">
        <v>0</v>
      </c>
      <c r="H104" s="146">
        <v>0</v>
      </c>
      <c r="I104" s="105"/>
      <c r="J104" s="92">
        <f t="shared" si="37"/>
        <v>0</v>
      </c>
    </row>
    <row r="105" spans="2:10" x14ac:dyDescent="0.25">
      <c r="B105" s="43"/>
      <c r="C105" s="44"/>
      <c r="D105" s="45" t="s">
        <v>22</v>
      </c>
      <c r="E105" s="92">
        <f>+SUM(E96:E104)</f>
        <v>0</v>
      </c>
      <c r="F105" s="92">
        <f>+SUM(F96:F104)</f>
        <v>-753215</v>
      </c>
      <c r="G105" s="92">
        <f>+SUM(G96:G104)</f>
        <v>166000</v>
      </c>
      <c r="H105" s="92">
        <f>+SUM(H96:H104)</f>
        <v>0</v>
      </c>
      <c r="I105" s="92"/>
      <c r="J105" s="92">
        <f>+SUM(J96:J104)</f>
        <v>-587215</v>
      </c>
    </row>
    <row r="106" spans="2:10" s="5" customFormat="1" x14ac:dyDescent="0.25">
      <c r="B106" s="74"/>
      <c r="C106" s="75"/>
      <c r="D106" s="118" t="s">
        <v>31</v>
      </c>
      <c r="E106" s="32">
        <f>+E105</f>
        <v>0</v>
      </c>
      <c r="F106" s="32">
        <f t="shared" ref="F106:J106" si="42">+F105</f>
        <v>-753215</v>
      </c>
      <c r="G106" s="32">
        <f t="shared" si="42"/>
        <v>166000</v>
      </c>
      <c r="H106" s="32">
        <f>+H105</f>
        <v>0</v>
      </c>
      <c r="I106" s="32"/>
      <c r="J106" s="32">
        <f t="shared" si="42"/>
        <v>-587215</v>
      </c>
    </row>
    <row r="107" spans="2:10" s="14" customFormat="1" x14ac:dyDescent="0.25">
      <c r="B107" s="23"/>
      <c r="C107" s="24"/>
      <c r="D107" s="25"/>
      <c r="E107" s="26"/>
      <c r="F107" s="26"/>
      <c r="G107" s="26"/>
      <c r="H107" s="26"/>
      <c r="I107" s="26"/>
      <c r="J107" s="26"/>
    </row>
    <row r="108" spans="2:10" x14ac:dyDescent="0.25">
      <c r="B108" s="189" t="s">
        <v>5</v>
      </c>
      <c r="C108" s="190"/>
      <c r="D108" s="190"/>
      <c r="E108" s="27"/>
      <c r="F108" s="27"/>
      <c r="G108" s="27"/>
      <c r="H108" s="27"/>
      <c r="I108" s="27"/>
      <c r="J108" s="27"/>
    </row>
    <row r="109" spans="2:10" s="5" customFormat="1" x14ac:dyDescent="0.25">
      <c r="B109" s="39"/>
      <c r="C109" s="40" t="s">
        <v>2</v>
      </c>
      <c r="D109" s="91" t="s">
        <v>1</v>
      </c>
      <c r="E109" s="4" t="s">
        <v>4</v>
      </c>
      <c r="F109" s="4" t="s">
        <v>18</v>
      </c>
      <c r="G109" s="4" t="s">
        <v>19</v>
      </c>
      <c r="H109" s="4" t="s">
        <v>44</v>
      </c>
      <c r="I109" s="4" t="s">
        <v>20</v>
      </c>
      <c r="J109" s="4" t="s">
        <v>21</v>
      </c>
    </row>
    <row r="110" spans="2:10" x14ac:dyDescent="0.25">
      <c r="B110" s="46"/>
      <c r="C110" s="47">
        <v>1</v>
      </c>
      <c r="D110" s="7" t="s">
        <v>47</v>
      </c>
      <c r="E110" s="146">
        <v>12000</v>
      </c>
      <c r="F110" s="146">
        <v>0</v>
      </c>
      <c r="G110" s="146">
        <v>0</v>
      </c>
      <c r="H110" s="146">
        <v>0</v>
      </c>
      <c r="I110" s="105"/>
      <c r="J110" s="92">
        <f t="shared" ref="J110:J133" si="43">SUM(E110:G110)-H110</f>
        <v>12000</v>
      </c>
    </row>
    <row r="111" spans="2:10" x14ac:dyDescent="0.25">
      <c r="B111" s="46"/>
      <c r="C111" s="47">
        <v>2</v>
      </c>
      <c r="D111" s="7" t="s">
        <v>124</v>
      </c>
      <c r="E111" s="146">
        <v>0</v>
      </c>
      <c r="F111" s="146">
        <v>50000</v>
      </c>
      <c r="G111" s="146">
        <v>0</v>
      </c>
      <c r="H111" s="146">
        <v>0</v>
      </c>
      <c r="I111" s="105"/>
      <c r="J111" s="92">
        <f t="shared" ref="J111" si="44">SUM(E111:G111)-H111</f>
        <v>50000</v>
      </c>
    </row>
    <row r="112" spans="2:10" x14ac:dyDescent="0.25">
      <c r="B112" s="46"/>
      <c r="C112" s="47">
        <v>3</v>
      </c>
      <c r="D112" s="7" t="s">
        <v>125</v>
      </c>
      <c r="E112" s="146">
        <v>0</v>
      </c>
      <c r="F112" s="146">
        <v>15000</v>
      </c>
      <c r="G112" s="146">
        <v>0</v>
      </c>
      <c r="H112" s="146">
        <v>0</v>
      </c>
      <c r="I112" s="105"/>
      <c r="J112" s="92">
        <f t="shared" ref="J112:J113" si="45">SUM(E112:G112)-H112</f>
        <v>15000</v>
      </c>
    </row>
    <row r="113" spans="2:10" x14ac:dyDescent="0.25">
      <c r="B113" s="46"/>
      <c r="C113" s="47">
        <v>4</v>
      </c>
      <c r="D113" s="7" t="s">
        <v>126</v>
      </c>
      <c r="E113" s="146">
        <v>0</v>
      </c>
      <c r="F113" s="146">
        <v>10000</v>
      </c>
      <c r="G113" s="146">
        <v>0</v>
      </c>
      <c r="H113" s="146">
        <v>0</v>
      </c>
      <c r="I113" s="105"/>
      <c r="J113" s="92">
        <f t="shared" si="45"/>
        <v>10000</v>
      </c>
    </row>
    <row r="114" spans="2:10" x14ac:dyDescent="0.25">
      <c r="B114" s="46"/>
      <c r="C114" s="47">
        <v>5</v>
      </c>
      <c r="D114" s="7" t="s">
        <v>127</v>
      </c>
      <c r="E114" s="146">
        <v>0</v>
      </c>
      <c r="F114" s="146">
        <f>2000+2000+4000</f>
        <v>8000</v>
      </c>
      <c r="G114" s="146">
        <v>0</v>
      </c>
      <c r="H114" s="146">
        <v>0</v>
      </c>
      <c r="I114" s="105"/>
      <c r="J114" s="92">
        <f t="shared" ref="J114" si="46">SUM(E114:G114)-H114</f>
        <v>8000</v>
      </c>
    </row>
    <row r="115" spans="2:10" x14ac:dyDescent="0.25">
      <c r="B115" s="46"/>
      <c r="C115" s="47">
        <v>6</v>
      </c>
      <c r="D115" s="7" t="s">
        <v>128</v>
      </c>
      <c r="E115" s="146">
        <v>0</v>
      </c>
      <c r="F115" s="146">
        <f>500+1500+1500</f>
        <v>3500</v>
      </c>
      <c r="G115" s="146">
        <v>0</v>
      </c>
      <c r="H115" s="146">
        <v>0</v>
      </c>
      <c r="I115" s="105"/>
      <c r="J115" s="92">
        <f t="shared" ref="J115" si="47">SUM(E115:G115)-H115</f>
        <v>3500</v>
      </c>
    </row>
    <row r="116" spans="2:10" x14ac:dyDescent="0.25">
      <c r="B116" s="46"/>
      <c r="C116" s="47">
        <v>7</v>
      </c>
      <c r="D116" s="7" t="s">
        <v>129</v>
      </c>
      <c r="E116" s="146">
        <v>0</v>
      </c>
      <c r="F116" s="146">
        <v>40000</v>
      </c>
      <c r="G116" s="146">
        <v>0</v>
      </c>
      <c r="H116" s="146">
        <v>0</v>
      </c>
      <c r="I116" s="105"/>
      <c r="J116" s="92">
        <f t="shared" ref="J116" si="48">SUM(E116:G116)-H116</f>
        <v>40000</v>
      </c>
    </row>
    <row r="117" spans="2:10" x14ac:dyDescent="0.25">
      <c r="B117" s="46"/>
      <c r="C117" s="47">
        <v>8</v>
      </c>
      <c r="D117" s="7" t="s">
        <v>130</v>
      </c>
      <c r="E117" s="146">
        <v>0</v>
      </c>
      <c r="F117" s="146">
        <v>8500</v>
      </c>
      <c r="G117" s="146">
        <v>0</v>
      </c>
      <c r="H117" s="146">
        <v>0</v>
      </c>
      <c r="I117" s="105"/>
      <c r="J117" s="92">
        <f t="shared" ref="J117:J118" si="49">SUM(E117:G117)-H117</f>
        <v>8500</v>
      </c>
    </row>
    <row r="118" spans="2:10" x14ac:dyDescent="0.25">
      <c r="B118" s="46"/>
      <c r="C118" s="47">
        <v>9</v>
      </c>
      <c r="D118" s="7" t="s">
        <v>131</v>
      </c>
      <c r="E118" s="146">
        <v>0</v>
      </c>
      <c r="F118" s="146">
        <v>1500</v>
      </c>
      <c r="G118" s="146">
        <v>0</v>
      </c>
      <c r="H118" s="146">
        <v>0</v>
      </c>
      <c r="I118" s="105"/>
      <c r="J118" s="92">
        <f t="shared" si="49"/>
        <v>1500</v>
      </c>
    </row>
    <row r="119" spans="2:10" x14ac:dyDescent="0.25">
      <c r="B119" s="46"/>
      <c r="C119" s="47">
        <v>10</v>
      </c>
      <c r="D119" s="7" t="s">
        <v>132</v>
      </c>
      <c r="E119" s="146">
        <v>0</v>
      </c>
      <c r="F119" s="146">
        <v>9500</v>
      </c>
      <c r="G119" s="146">
        <v>0</v>
      </c>
      <c r="H119" s="146">
        <v>0</v>
      </c>
      <c r="I119" s="105"/>
      <c r="J119" s="92">
        <f t="shared" ref="J119" si="50">SUM(E119:G119)-H119</f>
        <v>9500</v>
      </c>
    </row>
    <row r="120" spans="2:10" x14ac:dyDescent="0.25">
      <c r="B120" s="46"/>
      <c r="C120" s="47">
        <v>11</v>
      </c>
      <c r="D120" s="7" t="s">
        <v>133</v>
      </c>
      <c r="E120" s="146">
        <v>0</v>
      </c>
      <c r="F120" s="146">
        <v>3000</v>
      </c>
      <c r="G120" s="146">
        <v>0</v>
      </c>
      <c r="H120" s="146">
        <v>0</v>
      </c>
      <c r="I120" s="105"/>
      <c r="J120" s="92">
        <f t="shared" ref="J120" si="51">SUM(E120:G120)-H120</f>
        <v>3000</v>
      </c>
    </row>
    <row r="121" spans="2:10" x14ac:dyDescent="0.25">
      <c r="B121" s="46"/>
      <c r="C121" s="47">
        <v>12</v>
      </c>
      <c r="D121" s="7" t="s">
        <v>134</v>
      </c>
      <c r="E121" s="146">
        <v>0</v>
      </c>
      <c r="F121" s="146">
        <v>3000</v>
      </c>
      <c r="G121" s="146">
        <v>0</v>
      </c>
      <c r="H121" s="146">
        <v>0</v>
      </c>
      <c r="I121" s="105"/>
      <c r="J121" s="92">
        <f t="shared" ref="J121" si="52">SUM(E121:G121)-H121</f>
        <v>3000</v>
      </c>
    </row>
    <row r="122" spans="2:10" x14ac:dyDescent="0.25">
      <c r="B122" s="46"/>
      <c r="C122" s="47">
        <v>13</v>
      </c>
      <c r="D122" s="7" t="s">
        <v>135</v>
      </c>
      <c r="E122" s="146">
        <v>0</v>
      </c>
      <c r="F122" s="146">
        <v>5000</v>
      </c>
      <c r="G122" s="146">
        <v>0</v>
      </c>
      <c r="H122" s="146">
        <v>0</v>
      </c>
      <c r="I122" s="105"/>
      <c r="J122" s="92">
        <f t="shared" ref="J122" si="53">SUM(E122:G122)-H122</f>
        <v>5000</v>
      </c>
    </row>
    <row r="123" spans="2:10" x14ac:dyDescent="0.25">
      <c r="B123" s="46"/>
      <c r="C123" s="47">
        <v>14</v>
      </c>
      <c r="D123" s="7" t="s">
        <v>136</v>
      </c>
      <c r="E123" s="146">
        <v>0</v>
      </c>
      <c r="F123" s="146">
        <v>2000</v>
      </c>
      <c r="G123" s="146">
        <v>0</v>
      </c>
      <c r="H123" s="146">
        <v>0</v>
      </c>
      <c r="I123" s="105"/>
      <c r="J123" s="92">
        <f t="shared" ref="J123" si="54">SUM(E123:G123)-H123</f>
        <v>2000</v>
      </c>
    </row>
    <row r="124" spans="2:10" x14ac:dyDescent="0.25">
      <c r="B124" s="46"/>
      <c r="C124" s="47">
        <v>15</v>
      </c>
      <c r="D124" s="7" t="s">
        <v>137</v>
      </c>
      <c r="E124" s="146">
        <v>0</v>
      </c>
      <c r="F124" s="146">
        <v>3000</v>
      </c>
      <c r="G124" s="146">
        <v>0</v>
      </c>
      <c r="H124" s="146">
        <v>0</v>
      </c>
      <c r="I124" s="105"/>
      <c r="J124" s="92">
        <f t="shared" ref="J124" si="55">SUM(E124:G124)-H124</f>
        <v>3000</v>
      </c>
    </row>
    <row r="125" spans="2:10" x14ac:dyDescent="0.25">
      <c r="B125" s="46"/>
      <c r="C125" s="47">
        <v>16</v>
      </c>
      <c r="D125" s="7" t="s">
        <v>138</v>
      </c>
      <c r="E125" s="146">
        <v>0</v>
      </c>
      <c r="F125" s="146">
        <v>2000</v>
      </c>
      <c r="G125" s="146">
        <v>0</v>
      </c>
      <c r="H125" s="146">
        <v>0</v>
      </c>
      <c r="I125" s="105"/>
      <c r="J125" s="92">
        <f t="shared" si="43"/>
        <v>2000</v>
      </c>
    </row>
    <row r="126" spans="2:10" x14ac:dyDescent="0.25">
      <c r="B126" s="46"/>
      <c r="C126" s="47">
        <v>17</v>
      </c>
      <c r="D126" s="7" t="s">
        <v>139</v>
      </c>
      <c r="E126" s="146">
        <v>0</v>
      </c>
      <c r="F126" s="146">
        <v>3000</v>
      </c>
      <c r="G126" s="146">
        <v>0</v>
      </c>
      <c r="H126" s="146">
        <v>0</v>
      </c>
      <c r="I126" s="105"/>
      <c r="J126" s="92">
        <f t="shared" ref="J126" si="56">SUM(E126:G126)-H126</f>
        <v>3000</v>
      </c>
    </row>
    <row r="127" spans="2:10" x14ac:dyDescent="0.25">
      <c r="B127" s="46"/>
      <c r="C127" s="47">
        <v>18</v>
      </c>
      <c r="D127" s="7" t="s">
        <v>140</v>
      </c>
      <c r="E127" s="146">
        <v>0</v>
      </c>
      <c r="F127" s="146">
        <v>2500</v>
      </c>
      <c r="G127" s="146">
        <v>0</v>
      </c>
      <c r="H127" s="146">
        <v>0</v>
      </c>
      <c r="I127" s="105"/>
      <c r="J127" s="92">
        <f t="shared" ref="J127" si="57">SUM(E127:G127)-H127</f>
        <v>2500</v>
      </c>
    </row>
    <row r="128" spans="2:10" x14ac:dyDescent="0.25">
      <c r="B128" s="46"/>
      <c r="C128" s="47">
        <v>19</v>
      </c>
      <c r="D128" s="7" t="s">
        <v>141</v>
      </c>
      <c r="E128" s="146">
        <v>0</v>
      </c>
      <c r="F128" s="146">
        <v>2500</v>
      </c>
      <c r="G128" s="146">
        <v>0</v>
      </c>
      <c r="H128" s="146">
        <v>0</v>
      </c>
      <c r="I128" s="105"/>
      <c r="J128" s="92">
        <f t="shared" ref="J128" si="58">SUM(E128:G128)-H128</f>
        <v>2500</v>
      </c>
    </row>
    <row r="129" spans="2:10" x14ac:dyDescent="0.25">
      <c r="B129" s="46"/>
      <c r="C129" s="47">
        <v>20</v>
      </c>
      <c r="D129" s="7" t="s">
        <v>142</v>
      </c>
      <c r="E129" s="146">
        <v>0</v>
      </c>
      <c r="F129" s="146">
        <v>1500</v>
      </c>
      <c r="G129" s="146">
        <v>0</v>
      </c>
      <c r="H129" s="146">
        <v>0</v>
      </c>
      <c r="I129" s="105"/>
      <c r="J129" s="92">
        <f t="shared" ref="J129:J130" si="59">SUM(E129:G129)-H129</f>
        <v>1500</v>
      </c>
    </row>
    <row r="130" spans="2:10" x14ac:dyDescent="0.25">
      <c r="B130" s="46"/>
      <c r="C130" s="47"/>
      <c r="D130" s="7" t="s">
        <v>200</v>
      </c>
      <c r="E130" s="146">
        <v>0</v>
      </c>
      <c r="F130" s="146">
        <v>0</v>
      </c>
      <c r="G130" s="146">
        <v>40000</v>
      </c>
      <c r="H130" s="146">
        <v>0</v>
      </c>
      <c r="I130" s="105"/>
      <c r="J130" s="92">
        <f t="shared" si="59"/>
        <v>40000</v>
      </c>
    </row>
    <row r="131" spans="2:10" x14ac:dyDescent="0.25">
      <c r="B131" s="46"/>
      <c r="C131" s="47"/>
      <c r="D131" s="7" t="s">
        <v>201</v>
      </c>
      <c r="E131" s="146">
        <v>0</v>
      </c>
      <c r="F131" s="146">
        <v>0</v>
      </c>
      <c r="G131" s="146">
        <v>30000</v>
      </c>
      <c r="H131" s="146">
        <v>0</v>
      </c>
      <c r="I131" s="105"/>
      <c r="J131" s="92">
        <f t="shared" ref="J131" si="60">SUM(E131:G131)-H131</f>
        <v>30000</v>
      </c>
    </row>
    <row r="132" spans="2:10" x14ac:dyDescent="0.25">
      <c r="B132" s="46"/>
      <c r="C132" s="47"/>
      <c r="D132" s="7"/>
      <c r="E132" s="146">
        <v>0</v>
      </c>
      <c r="F132" s="146">
        <v>0</v>
      </c>
      <c r="G132" s="146">
        <v>0</v>
      </c>
      <c r="H132" s="146">
        <v>0</v>
      </c>
      <c r="I132" s="105"/>
      <c r="J132" s="92">
        <f t="shared" ref="J132" si="61">SUM(E132:G132)-H132</f>
        <v>0</v>
      </c>
    </row>
    <row r="133" spans="2:10" x14ac:dyDescent="0.25">
      <c r="B133" s="46"/>
      <c r="C133" s="47"/>
      <c r="D133" s="7"/>
      <c r="E133" s="146">
        <v>0</v>
      </c>
      <c r="F133" s="146">
        <v>0</v>
      </c>
      <c r="G133" s="146">
        <v>0</v>
      </c>
      <c r="H133" s="146">
        <v>0</v>
      </c>
      <c r="I133" s="105"/>
      <c r="J133" s="92">
        <f t="shared" si="43"/>
        <v>0</v>
      </c>
    </row>
    <row r="134" spans="2:10" x14ac:dyDescent="0.25">
      <c r="B134" s="43"/>
      <c r="C134" s="44"/>
      <c r="D134" s="45" t="s">
        <v>22</v>
      </c>
      <c r="E134" s="92">
        <f>+SUM(E110:E133)</f>
        <v>12000</v>
      </c>
      <c r="F134" s="92">
        <f>+SUM(F110:F133)</f>
        <v>173500</v>
      </c>
      <c r="G134" s="92">
        <f>+SUM(G110:G133)</f>
        <v>70000</v>
      </c>
      <c r="H134" s="92">
        <f>+SUM(H110:H133)</f>
        <v>0</v>
      </c>
      <c r="I134" s="92"/>
      <c r="J134" s="92">
        <f>+SUM(J110:J133)</f>
        <v>255500</v>
      </c>
    </row>
    <row r="135" spans="2:10" s="5" customFormat="1" x14ac:dyDescent="0.25">
      <c r="B135" s="72"/>
      <c r="C135" s="73"/>
      <c r="D135" s="119" t="s">
        <v>32</v>
      </c>
      <c r="E135" s="28">
        <f>+E134</f>
        <v>12000</v>
      </c>
      <c r="F135" s="28">
        <f t="shared" ref="F135:J135" si="62">+F134</f>
        <v>173500</v>
      </c>
      <c r="G135" s="28">
        <f t="shared" si="62"/>
        <v>70000</v>
      </c>
      <c r="H135" s="28">
        <f t="shared" ref="H135" si="63">+H134</f>
        <v>0</v>
      </c>
      <c r="I135" s="28"/>
      <c r="J135" s="28">
        <f t="shared" si="62"/>
        <v>255500</v>
      </c>
    </row>
    <row r="136" spans="2:10" s="37" customFormat="1" x14ac:dyDescent="0.25">
      <c r="B136" s="33"/>
      <c r="C136" s="34"/>
      <c r="D136" s="35"/>
      <c r="E136" s="36"/>
      <c r="F136" s="36"/>
      <c r="G136" s="36"/>
      <c r="H136" s="36"/>
      <c r="I136" s="36"/>
      <c r="J136" s="36"/>
    </row>
    <row r="137" spans="2:10" s="14" customFormat="1" x14ac:dyDescent="0.25">
      <c r="B137" s="172" t="s">
        <v>16</v>
      </c>
      <c r="C137" s="172"/>
      <c r="D137" s="172"/>
      <c r="E137" s="172"/>
      <c r="F137" s="172"/>
      <c r="G137" s="172"/>
      <c r="H137" s="172"/>
      <c r="I137" s="172"/>
      <c r="J137" s="172"/>
    </row>
    <row r="138" spans="2:10" x14ac:dyDescent="0.25">
      <c r="B138" s="193" t="s">
        <v>17</v>
      </c>
      <c r="C138" s="194"/>
      <c r="D138" s="194"/>
      <c r="E138" s="62"/>
      <c r="F138" s="62"/>
      <c r="G138" s="62"/>
      <c r="H138" s="62"/>
      <c r="I138" s="62"/>
      <c r="J138" s="62"/>
    </row>
    <row r="139" spans="2:10" s="5" customFormat="1" x14ac:dyDescent="0.25">
      <c r="B139" s="39"/>
      <c r="C139" s="40" t="s">
        <v>2</v>
      </c>
      <c r="D139" s="169" t="s">
        <v>1</v>
      </c>
      <c r="E139" s="4" t="s">
        <v>4</v>
      </c>
      <c r="F139" s="4" t="s">
        <v>18</v>
      </c>
      <c r="G139" s="4" t="s">
        <v>19</v>
      </c>
      <c r="H139" s="4" t="s">
        <v>44</v>
      </c>
      <c r="I139" s="4" t="s">
        <v>20</v>
      </c>
      <c r="J139" s="4" t="s">
        <v>21</v>
      </c>
    </row>
    <row r="140" spans="2:10" x14ac:dyDescent="0.25">
      <c r="B140" s="46" t="s">
        <v>189</v>
      </c>
      <c r="C140" s="47"/>
      <c r="D140" s="52" t="s">
        <v>196</v>
      </c>
      <c r="E140" s="146">
        <v>0</v>
      </c>
      <c r="F140" s="146">
        <v>10825</v>
      </c>
      <c r="G140" s="146">
        <v>0</v>
      </c>
      <c r="H140" s="146">
        <v>0</v>
      </c>
      <c r="I140" s="8"/>
      <c r="J140" s="92">
        <f t="shared" ref="J140" si="64">SUM(E140:G140)-H140</f>
        <v>10825</v>
      </c>
    </row>
    <row r="141" spans="2:10" x14ac:dyDescent="0.25">
      <c r="B141" s="46" t="s">
        <v>189</v>
      </c>
      <c r="C141" s="47"/>
      <c r="D141" s="52" t="s">
        <v>195</v>
      </c>
      <c r="E141" s="146">
        <v>0</v>
      </c>
      <c r="F141" s="146">
        <v>48337</v>
      </c>
      <c r="G141" s="146">
        <v>0</v>
      </c>
      <c r="H141" s="146">
        <v>0</v>
      </c>
      <c r="I141" s="8"/>
      <c r="J141" s="92">
        <f>SUM(E141:G141)-H141</f>
        <v>48337</v>
      </c>
    </row>
    <row r="142" spans="2:10" x14ac:dyDescent="0.25">
      <c r="B142" s="46" t="s">
        <v>189</v>
      </c>
      <c r="C142" s="47"/>
      <c r="D142" s="52" t="s">
        <v>197</v>
      </c>
      <c r="E142" s="146">
        <v>0</v>
      </c>
      <c r="F142" s="146">
        <v>5142</v>
      </c>
      <c r="G142" s="146">
        <v>0</v>
      </c>
      <c r="H142" s="146">
        <v>0</v>
      </c>
      <c r="I142" s="8"/>
      <c r="J142" s="92">
        <f t="shared" ref="J142:J148" si="65">SUM(E142:G142)-H142</f>
        <v>5142</v>
      </c>
    </row>
    <row r="143" spans="2:10" x14ac:dyDescent="0.25">
      <c r="B143" s="46" t="s">
        <v>189</v>
      </c>
      <c r="C143" s="47"/>
      <c r="D143" s="52" t="s">
        <v>199</v>
      </c>
      <c r="E143" s="146">
        <v>0</v>
      </c>
      <c r="F143" s="146">
        <v>28740</v>
      </c>
      <c r="G143" s="146">
        <v>0</v>
      </c>
      <c r="H143" s="146">
        <v>0</v>
      </c>
      <c r="I143" s="8"/>
      <c r="J143" s="92">
        <f t="shared" si="65"/>
        <v>28740</v>
      </c>
    </row>
    <row r="144" spans="2:10" x14ac:dyDescent="0.25">
      <c r="B144" s="46" t="s">
        <v>189</v>
      </c>
      <c r="C144" s="47"/>
      <c r="D144" s="52" t="s">
        <v>198</v>
      </c>
      <c r="E144" s="146">
        <v>4150</v>
      </c>
      <c r="F144" s="146">
        <v>0</v>
      </c>
      <c r="G144" s="146">
        <v>0</v>
      </c>
      <c r="H144" s="146">
        <v>0</v>
      </c>
      <c r="I144" s="8"/>
      <c r="J144" s="92">
        <f t="shared" ref="J144:J145" si="66">SUM(E144:G144)-H144</f>
        <v>4150</v>
      </c>
    </row>
    <row r="145" spans="2:10" x14ac:dyDescent="0.25">
      <c r="B145" s="46"/>
      <c r="C145" s="47"/>
      <c r="D145" s="52"/>
      <c r="E145" s="146">
        <v>0</v>
      </c>
      <c r="F145" s="146">
        <v>0</v>
      </c>
      <c r="G145" s="146">
        <v>0</v>
      </c>
      <c r="H145" s="146">
        <v>0</v>
      </c>
      <c r="I145" s="8"/>
      <c r="J145" s="92">
        <f t="shared" si="66"/>
        <v>0</v>
      </c>
    </row>
    <row r="146" spans="2:10" x14ac:dyDescent="0.25">
      <c r="B146" s="46"/>
      <c r="C146" s="47"/>
      <c r="D146" s="52"/>
      <c r="E146" s="146">
        <v>0</v>
      </c>
      <c r="F146" s="146">
        <v>0</v>
      </c>
      <c r="G146" s="146">
        <v>0</v>
      </c>
      <c r="H146" s="146">
        <v>0</v>
      </c>
      <c r="I146" s="8"/>
      <c r="J146" s="92">
        <f t="shared" si="65"/>
        <v>0</v>
      </c>
    </row>
    <row r="147" spans="2:10" x14ac:dyDescent="0.25">
      <c r="B147" s="46"/>
      <c r="C147" s="47"/>
      <c r="D147" s="52"/>
      <c r="E147" s="146">
        <v>0</v>
      </c>
      <c r="F147" s="146">
        <v>0</v>
      </c>
      <c r="G147" s="146">
        <v>0</v>
      </c>
      <c r="H147" s="146">
        <v>0</v>
      </c>
      <c r="I147" s="8"/>
      <c r="J147" s="92">
        <f t="shared" ref="J147" si="67">SUM(E147:G147)-H147</f>
        <v>0</v>
      </c>
    </row>
    <row r="148" spans="2:10" x14ac:dyDescent="0.25">
      <c r="B148" s="46"/>
      <c r="C148" s="47"/>
      <c r="D148" s="52"/>
      <c r="E148" s="146">
        <v>0</v>
      </c>
      <c r="F148" s="146">
        <v>0</v>
      </c>
      <c r="G148" s="146">
        <v>0</v>
      </c>
      <c r="H148" s="146">
        <v>0</v>
      </c>
      <c r="I148" s="8"/>
      <c r="J148" s="92">
        <f t="shared" si="65"/>
        <v>0</v>
      </c>
    </row>
    <row r="149" spans="2:10" x14ac:dyDescent="0.25">
      <c r="B149" s="43"/>
      <c r="C149" s="44"/>
      <c r="D149" s="45" t="s">
        <v>22</v>
      </c>
      <c r="E149" s="92">
        <f>+SUM(E140:E148)</f>
        <v>4150</v>
      </c>
      <c r="F149" s="92">
        <f t="shared" ref="F149:H149" si="68">+SUM(F140:F148)</f>
        <v>93044</v>
      </c>
      <c r="G149" s="92">
        <f t="shared" si="68"/>
        <v>0</v>
      </c>
      <c r="H149" s="92">
        <f t="shared" si="68"/>
        <v>0</v>
      </c>
      <c r="I149" s="92"/>
      <c r="J149" s="92">
        <f>+SUM(J140:J148)</f>
        <v>97194</v>
      </c>
    </row>
    <row r="150" spans="2:10" s="5" customFormat="1" x14ac:dyDescent="0.25">
      <c r="B150" s="129"/>
      <c r="C150" s="130"/>
      <c r="D150" s="124" t="s">
        <v>34</v>
      </c>
      <c r="E150" s="63">
        <f>+E149</f>
        <v>4150</v>
      </c>
      <c r="F150" s="63">
        <f t="shared" ref="F150:J150" si="69">+F149</f>
        <v>93044</v>
      </c>
      <c r="G150" s="63">
        <f t="shared" si="69"/>
        <v>0</v>
      </c>
      <c r="H150" s="63">
        <f t="shared" ref="H150" si="70">+H149</f>
        <v>0</v>
      </c>
      <c r="I150" s="63"/>
      <c r="J150" s="63">
        <f t="shared" si="69"/>
        <v>97194</v>
      </c>
    </row>
    <row r="151" spans="2:10" s="14" customFormat="1" x14ac:dyDescent="0.25">
      <c r="B151" s="23"/>
      <c r="C151" s="24"/>
      <c r="D151" s="25"/>
      <c r="E151" s="26"/>
      <c r="F151" s="26"/>
      <c r="G151" s="26"/>
      <c r="H151" s="26"/>
      <c r="I151" s="26"/>
      <c r="J151" s="26"/>
    </row>
    <row r="152" spans="2:10" x14ac:dyDescent="0.25">
      <c r="B152" s="196" t="s">
        <v>178</v>
      </c>
      <c r="C152" s="197"/>
      <c r="D152" s="197"/>
      <c r="E152" s="168"/>
      <c r="F152" s="168"/>
      <c r="G152" s="168"/>
      <c r="H152" s="168"/>
      <c r="I152" s="168"/>
      <c r="J152" s="168"/>
    </row>
    <row r="153" spans="2:10" s="5" customFormat="1" x14ac:dyDescent="0.25">
      <c r="B153" s="39"/>
      <c r="C153" s="40" t="s">
        <v>2</v>
      </c>
      <c r="D153" s="145" t="s">
        <v>1</v>
      </c>
      <c r="E153" s="4" t="s">
        <v>4</v>
      </c>
      <c r="F153" s="4" t="s">
        <v>18</v>
      </c>
      <c r="G153" s="4" t="s">
        <v>19</v>
      </c>
      <c r="H153" s="4" t="s">
        <v>44</v>
      </c>
      <c r="I153" s="4" t="s">
        <v>20</v>
      </c>
      <c r="J153" s="4" t="s">
        <v>21</v>
      </c>
    </row>
    <row r="154" spans="2:10" x14ac:dyDescent="0.25">
      <c r="B154" s="46" t="s">
        <v>182</v>
      </c>
      <c r="C154" s="47">
        <v>1</v>
      </c>
      <c r="D154" s="52" t="s">
        <v>181</v>
      </c>
      <c r="E154" s="146">
        <v>0</v>
      </c>
      <c r="F154" s="146">
        <v>99204</v>
      </c>
      <c r="G154" s="146">
        <v>0</v>
      </c>
      <c r="H154" s="146">
        <v>0</v>
      </c>
      <c r="I154" s="8"/>
      <c r="J154" s="92">
        <f t="shared" ref="J154" si="71">SUM(E154:G154)-H154</f>
        <v>99204</v>
      </c>
    </row>
    <row r="155" spans="2:10" x14ac:dyDescent="0.25">
      <c r="B155" s="46" t="s">
        <v>182</v>
      </c>
      <c r="C155" s="47">
        <v>2</v>
      </c>
      <c r="D155" s="52" t="s">
        <v>180</v>
      </c>
      <c r="E155" s="146">
        <v>0</v>
      </c>
      <c r="F155" s="146">
        <v>13100</v>
      </c>
      <c r="G155" s="146">
        <v>0</v>
      </c>
      <c r="H155" s="146">
        <v>0</v>
      </c>
      <c r="I155" s="8"/>
      <c r="J155" s="92">
        <f>SUM(E155:G155)-H155</f>
        <v>13100</v>
      </c>
    </row>
    <row r="156" spans="2:10" x14ac:dyDescent="0.25">
      <c r="B156" s="46" t="s">
        <v>183</v>
      </c>
      <c r="C156" s="47"/>
      <c r="D156" s="52" t="s">
        <v>190</v>
      </c>
      <c r="E156" s="148" t="s">
        <v>185</v>
      </c>
      <c r="F156" s="148">
        <v>0</v>
      </c>
      <c r="G156" s="148">
        <v>0</v>
      </c>
      <c r="H156" s="146">
        <v>0</v>
      </c>
      <c r="I156" s="8"/>
      <c r="J156" s="92">
        <f t="shared" ref="J156:J157" si="72">SUM(E156:G156)-H156</f>
        <v>0</v>
      </c>
    </row>
    <row r="157" spans="2:10" x14ac:dyDescent="0.25">
      <c r="B157" s="46" t="s">
        <v>183</v>
      </c>
      <c r="C157" s="47"/>
      <c r="D157" s="52" t="s">
        <v>191</v>
      </c>
      <c r="E157" s="148" t="s">
        <v>185</v>
      </c>
      <c r="F157" s="148">
        <v>0</v>
      </c>
      <c r="G157" s="148">
        <v>0</v>
      </c>
      <c r="H157" s="146">
        <v>0</v>
      </c>
      <c r="I157" s="8"/>
      <c r="J157" s="92">
        <f t="shared" si="72"/>
        <v>0</v>
      </c>
    </row>
    <row r="158" spans="2:10" x14ac:dyDescent="0.25">
      <c r="B158" s="46" t="s">
        <v>183</v>
      </c>
      <c r="C158" s="47"/>
      <c r="D158" s="52" t="s">
        <v>192</v>
      </c>
      <c r="E158" s="148" t="s">
        <v>185</v>
      </c>
      <c r="F158" s="148">
        <v>0</v>
      </c>
      <c r="G158" s="148">
        <v>0</v>
      </c>
      <c r="H158" s="146">
        <v>0</v>
      </c>
      <c r="I158" s="8"/>
      <c r="J158" s="92">
        <f t="shared" ref="J158:J159" si="73">SUM(E158:G158)-H158</f>
        <v>0</v>
      </c>
    </row>
    <row r="159" spans="2:10" x14ac:dyDescent="0.25">
      <c r="B159" s="46"/>
      <c r="C159" s="47"/>
      <c r="D159" s="52"/>
      <c r="E159" s="146">
        <v>0</v>
      </c>
      <c r="F159" s="146">
        <v>0</v>
      </c>
      <c r="G159" s="146">
        <v>0</v>
      </c>
      <c r="H159" s="146">
        <v>0</v>
      </c>
      <c r="I159" s="8"/>
      <c r="J159" s="92">
        <f t="shared" si="73"/>
        <v>0</v>
      </c>
    </row>
    <row r="160" spans="2:10" x14ac:dyDescent="0.25">
      <c r="B160" s="46"/>
      <c r="C160" s="47"/>
      <c r="D160" s="52"/>
      <c r="E160" s="146">
        <v>0</v>
      </c>
      <c r="F160" s="146">
        <v>0</v>
      </c>
      <c r="G160" s="146">
        <v>0</v>
      </c>
      <c r="H160" s="146">
        <v>0</v>
      </c>
      <c r="I160" s="8"/>
      <c r="J160" s="92">
        <f t="shared" ref="J160" si="74">SUM(E160:G160)-H160</f>
        <v>0</v>
      </c>
    </row>
    <row r="161" spans="2:10" x14ac:dyDescent="0.25">
      <c r="B161" s="46"/>
      <c r="C161" s="47"/>
      <c r="D161" s="52"/>
      <c r="E161" s="146">
        <v>0</v>
      </c>
      <c r="F161" s="146">
        <v>0</v>
      </c>
      <c r="G161" s="146">
        <v>0</v>
      </c>
      <c r="H161" s="146">
        <v>0</v>
      </c>
      <c r="I161" s="8"/>
      <c r="J161" s="92">
        <f t="shared" ref="J161" si="75">SUM(E161:G161)-H161</f>
        <v>0</v>
      </c>
    </row>
    <row r="162" spans="2:10" x14ac:dyDescent="0.25">
      <c r="B162" s="46"/>
      <c r="C162" s="47"/>
      <c r="D162" s="52"/>
      <c r="E162" s="146">
        <v>0</v>
      </c>
      <c r="F162" s="146">
        <v>0</v>
      </c>
      <c r="G162" s="146">
        <v>0</v>
      </c>
      <c r="H162" s="146">
        <v>0</v>
      </c>
      <c r="I162" s="8"/>
      <c r="J162" s="92">
        <f t="shared" ref="J162" si="76">SUM(E162:G162)-H162</f>
        <v>0</v>
      </c>
    </row>
    <row r="163" spans="2:10" x14ac:dyDescent="0.25">
      <c r="B163" s="43"/>
      <c r="C163" s="44"/>
      <c r="D163" s="45" t="s">
        <v>22</v>
      </c>
      <c r="E163" s="92">
        <f>+SUM(E154:E162)</f>
        <v>0</v>
      </c>
      <c r="F163" s="92">
        <f t="shared" ref="F163:H163" si="77">+SUM(F154:F162)</f>
        <v>112304</v>
      </c>
      <c r="G163" s="92">
        <f t="shared" si="77"/>
        <v>0</v>
      </c>
      <c r="H163" s="92">
        <f t="shared" si="77"/>
        <v>0</v>
      </c>
      <c r="I163" s="92"/>
      <c r="J163" s="92">
        <f>+SUM(J154:J162)</f>
        <v>112304</v>
      </c>
    </row>
    <row r="164" spans="2:10" s="5" customFormat="1" x14ac:dyDescent="0.25">
      <c r="B164" s="76"/>
      <c r="C164" s="77"/>
      <c r="D164" s="117" t="s">
        <v>179</v>
      </c>
      <c r="E164" s="30">
        <f>+E163</f>
        <v>0</v>
      </c>
      <c r="F164" s="30">
        <f t="shared" ref="F164:H164" si="78">+F163</f>
        <v>112304</v>
      </c>
      <c r="G164" s="30">
        <f t="shared" si="78"/>
        <v>0</v>
      </c>
      <c r="H164" s="30">
        <f t="shared" si="78"/>
        <v>0</v>
      </c>
      <c r="I164" s="30"/>
      <c r="J164" s="30">
        <f t="shared" ref="J164" si="79">+J163</f>
        <v>112304</v>
      </c>
    </row>
    <row r="165" spans="2:10" s="14" customFormat="1" x14ac:dyDescent="0.25">
      <c r="B165" s="23"/>
      <c r="C165" s="24"/>
      <c r="D165" s="25"/>
      <c r="E165" s="26"/>
      <c r="F165" s="26"/>
      <c r="G165" s="26"/>
      <c r="H165" s="26"/>
      <c r="I165" s="26"/>
      <c r="J165" s="26"/>
    </row>
    <row r="166" spans="2:10" x14ac:dyDescent="0.25">
      <c r="B166" s="177" t="s">
        <v>36</v>
      </c>
      <c r="C166" s="178"/>
      <c r="D166" s="178"/>
      <c r="E166" s="97"/>
      <c r="F166" s="97"/>
      <c r="G166" s="97"/>
      <c r="H166" s="97"/>
      <c r="I166" s="97"/>
      <c r="J166" s="97"/>
    </row>
    <row r="167" spans="2:10" s="5" customFormat="1" x14ac:dyDescent="0.25">
      <c r="B167" s="39"/>
      <c r="C167" s="40" t="s">
        <v>2</v>
      </c>
      <c r="D167" s="91" t="s">
        <v>1</v>
      </c>
      <c r="E167" s="4" t="s">
        <v>4</v>
      </c>
      <c r="F167" s="4" t="s">
        <v>18</v>
      </c>
      <c r="G167" s="4" t="s">
        <v>19</v>
      </c>
      <c r="H167" s="4" t="s">
        <v>44</v>
      </c>
      <c r="I167" s="4" t="s">
        <v>20</v>
      </c>
      <c r="J167" s="4" t="s">
        <v>21</v>
      </c>
    </row>
    <row r="168" spans="2:10" s="54" customFormat="1" x14ac:dyDescent="0.25">
      <c r="B168" s="50" t="s">
        <v>111</v>
      </c>
      <c r="C168" s="51">
        <v>1</v>
      </c>
      <c r="D168" s="52" t="s">
        <v>110</v>
      </c>
      <c r="E168" s="146">
        <v>7000</v>
      </c>
      <c r="F168" s="146">
        <f>4000+1750</f>
        <v>5750</v>
      </c>
      <c r="G168" s="146">
        <v>0</v>
      </c>
      <c r="H168" s="146">
        <v>0</v>
      </c>
      <c r="I168" s="106"/>
      <c r="J168" s="92">
        <f t="shared" ref="J168:J176" si="80">SUM(E168:G168)-H168</f>
        <v>12750</v>
      </c>
    </row>
    <row r="169" spans="2:10" s="54" customFormat="1" x14ac:dyDescent="0.25">
      <c r="B169" s="50" t="s">
        <v>111</v>
      </c>
      <c r="C169" s="51">
        <v>2</v>
      </c>
      <c r="D169" s="52" t="s">
        <v>112</v>
      </c>
      <c r="E169" s="146">
        <v>2000</v>
      </c>
      <c r="F169" s="146">
        <f>2000+2000+1500+1000</f>
        <v>6500</v>
      </c>
      <c r="G169" s="146">
        <v>0</v>
      </c>
      <c r="H169" s="146">
        <v>0</v>
      </c>
      <c r="I169" s="106"/>
      <c r="J169" s="92">
        <f t="shared" si="80"/>
        <v>8500</v>
      </c>
    </row>
    <row r="170" spans="2:10" s="54" customFormat="1" x14ac:dyDescent="0.25">
      <c r="B170" s="50" t="s">
        <v>114</v>
      </c>
      <c r="C170" s="51">
        <v>3</v>
      </c>
      <c r="D170" s="52" t="s">
        <v>113</v>
      </c>
      <c r="E170" s="146">
        <v>0</v>
      </c>
      <c r="F170" s="146">
        <v>0</v>
      </c>
      <c r="G170" s="146">
        <f>38815+10000</f>
        <v>48815</v>
      </c>
      <c r="H170" s="146">
        <v>0</v>
      </c>
      <c r="I170" s="106"/>
      <c r="J170" s="92">
        <f t="shared" si="80"/>
        <v>48815</v>
      </c>
    </row>
    <row r="171" spans="2:10" s="54" customFormat="1" x14ac:dyDescent="0.25">
      <c r="B171" s="50" t="s">
        <v>115</v>
      </c>
      <c r="C171" s="51">
        <v>3</v>
      </c>
      <c r="D171" s="52" t="s">
        <v>113</v>
      </c>
      <c r="E171" s="146">
        <v>0</v>
      </c>
      <c r="F171" s="146">
        <v>0</v>
      </c>
      <c r="G171" s="146">
        <f>38815+10000</f>
        <v>48815</v>
      </c>
      <c r="H171" s="146">
        <v>0</v>
      </c>
      <c r="I171" s="106"/>
      <c r="J171" s="92">
        <f t="shared" si="80"/>
        <v>48815</v>
      </c>
    </row>
    <row r="172" spans="2:10" s="54" customFormat="1" x14ac:dyDescent="0.25">
      <c r="B172" s="50" t="s">
        <v>115</v>
      </c>
      <c r="C172" s="51">
        <v>4</v>
      </c>
      <c r="D172" s="52" t="s">
        <v>116</v>
      </c>
      <c r="E172" s="146">
        <v>0</v>
      </c>
      <c r="F172" s="146">
        <f>3000+4000</f>
        <v>7000</v>
      </c>
      <c r="G172" s="146">
        <v>0</v>
      </c>
      <c r="H172" s="146">
        <v>0</v>
      </c>
      <c r="I172" s="106"/>
      <c r="J172" s="92">
        <f t="shared" ref="J172" si="81">SUM(E172:G172)-H172</f>
        <v>7000</v>
      </c>
    </row>
    <row r="173" spans="2:10" s="54" customFormat="1" x14ac:dyDescent="0.25">
      <c r="B173" s="50" t="s">
        <v>114</v>
      </c>
      <c r="C173" s="51">
        <v>5</v>
      </c>
      <c r="D173" s="52" t="s">
        <v>117</v>
      </c>
      <c r="E173" s="146">
        <v>3500</v>
      </c>
      <c r="F173" s="146">
        <v>0</v>
      </c>
      <c r="G173" s="146">
        <v>0</v>
      </c>
      <c r="H173" s="146">
        <v>0</v>
      </c>
      <c r="I173" s="106"/>
      <c r="J173" s="92">
        <f t="shared" ref="J173:J174" si="82">SUM(E173:G173)-H173</f>
        <v>3500</v>
      </c>
    </row>
    <row r="174" spans="2:10" s="54" customFormat="1" x14ac:dyDescent="0.25">
      <c r="B174" s="50" t="s">
        <v>115</v>
      </c>
      <c r="C174" s="51">
        <v>5</v>
      </c>
      <c r="D174" s="52" t="s">
        <v>117</v>
      </c>
      <c r="E174" s="146">
        <v>3220</v>
      </c>
      <c r="F174" s="146">
        <v>0</v>
      </c>
      <c r="G174" s="146">
        <v>0</v>
      </c>
      <c r="H174" s="146">
        <v>0</v>
      </c>
      <c r="I174" s="106"/>
      <c r="J174" s="92">
        <f t="shared" si="82"/>
        <v>3220</v>
      </c>
    </row>
    <row r="175" spans="2:10" s="54" customFormat="1" x14ac:dyDescent="0.25">
      <c r="B175" s="50"/>
      <c r="C175" s="51"/>
      <c r="D175" s="52"/>
      <c r="E175" s="146">
        <v>0</v>
      </c>
      <c r="F175" s="146">
        <v>0</v>
      </c>
      <c r="G175" s="146">
        <v>0</v>
      </c>
      <c r="H175" s="146">
        <v>0</v>
      </c>
      <c r="I175" s="106"/>
      <c r="J175" s="92">
        <f t="shared" si="80"/>
        <v>0</v>
      </c>
    </row>
    <row r="176" spans="2:10" s="54" customFormat="1" x14ac:dyDescent="0.25">
      <c r="B176" s="50"/>
      <c r="C176" s="51"/>
      <c r="D176" s="52"/>
      <c r="E176" s="146">
        <v>0</v>
      </c>
      <c r="F176" s="146">
        <v>0</v>
      </c>
      <c r="G176" s="146">
        <v>0</v>
      </c>
      <c r="H176" s="146">
        <v>0</v>
      </c>
      <c r="I176" s="106"/>
      <c r="J176" s="92">
        <f t="shared" si="80"/>
        <v>0</v>
      </c>
    </row>
    <row r="177" spans="2:10" x14ac:dyDescent="0.25">
      <c r="B177" s="43"/>
      <c r="C177" s="44"/>
      <c r="D177" s="45" t="s">
        <v>22</v>
      </c>
      <c r="E177" s="92">
        <f>+SUM(E168:E176)</f>
        <v>15720</v>
      </c>
      <c r="F177" s="92">
        <f>+SUM(F168:F176)</f>
        <v>19250</v>
      </c>
      <c r="G177" s="92">
        <f>+SUM(G168:G176)</f>
        <v>97630</v>
      </c>
      <c r="H177" s="92">
        <f>+SUM(H168:H176)</f>
        <v>0</v>
      </c>
      <c r="I177" s="92"/>
      <c r="J177" s="92">
        <f>+SUM(J168:J176)</f>
        <v>132600</v>
      </c>
    </row>
    <row r="178" spans="2:10" s="5" customFormat="1" x14ac:dyDescent="0.25">
      <c r="B178" s="99"/>
      <c r="C178" s="100"/>
      <c r="D178" s="122" t="s">
        <v>35</v>
      </c>
      <c r="E178" s="98">
        <f>+E177</f>
        <v>15720</v>
      </c>
      <c r="F178" s="98">
        <f t="shared" ref="F178:J178" si="83">+F177</f>
        <v>19250</v>
      </c>
      <c r="G178" s="98">
        <f t="shared" si="83"/>
        <v>97630</v>
      </c>
      <c r="H178" s="98">
        <f t="shared" ref="H178" si="84">+H177</f>
        <v>0</v>
      </c>
      <c r="I178" s="98"/>
      <c r="J178" s="98">
        <f t="shared" si="83"/>
        <v>132600</v>
      </c>
    </row>
    <row r="179" spans="2:10" s="14" customFormat="1" x14ac:dyDescent="0.25">
      <c r="B179" s="56"/>
      <c r="C179" s="34"/>
      <c r="D179" s="35"/>
      <c r="E179" s="36"/>
      <c r="F179" s="36"/>
      <c r="G179" s="36"/>
      <c r="H179" s="36"/>
      <c r="I179" s="36"/>
      <c r="J179" s="36"/>
    </row>
    <row r="180" spans="2:10" x14ac:dyDescent="0.25">
      <c r="B180" s="179" t="s">
        <v>11</v>
      </c>
      <c r="C180" s="180"/>
      <c r="D180" s="180"/>
      <c r="E180" s="57"/>
      <c r="F180" s="57"/>
      <c r="G180" s="57"/>
      <c r="H180" s="57"/>
      <c r="I180" s="57"/>
      <c r="J180" s="57"/>
    </row>
    <row r="181" spans="2:10" s="5" customFormat="1" x14ac:dyDescent="0.25">
      <c r="B181" s="39"/>
      <c r="C181" s="40" t="s">
        <v>2</v>
      </c>
      <c r="D181" s="91" t="s">
        <v>1</v>
      </c>
      <c r="E181" s="4" t="s">
        <v>4</v>
      </c>
      <c r="F181" s="4" t="s">
        <v>18</v>
      </c>
      <c r="G181" s="4" t="s">
        <v>19</v>
      </c>
      <c r="H181" s="4" t="s">
        <v>44</v>
      </c>
      <c r="I181" s="4" t="s">
        <v>20</v>
      </c>
      <c r="J181" s="4" t="s">
        <v>21</v>
      </c>
    </row>
    <row r="182" spans="2:10" s="54" customFormat="1" x14ac:dyDescent="0.25">
      <c r="B182" s="50" t="s">
        <v>107</v>
      </c>
      <c r="C182" s="51">
        <v>1</v>
      </c>
      <c r="D182" s="52" t="s">
        <v>65</v>
      </c>
      <c r="E182" s="148">
        <v>7667.34375</v>
      </c>
      <c r="F182" s="146">
        <v>0</v>
      </c>
      <c r="G182" s="146">
        <v>0</v>
      </c>
      <c r="H182" s="146">
        <v>0</v>
      </c>
      <c r="I182" s="106"/>
      <c r="J182" s="92">
        <f t="shared" ref="J182:J193" si="85">SUM(E182:G182)-H182</f>
        <v>7667.34375</v>
      </c>
    </row>
    <row r="183" spans="2:10" s="54" customFormat="1" x14ac:dyDescent="0.25">
      <c r="B183" s="50" t="s">
        <v>107</v>
      </c>
      <c r="C183" s="51">
        <v>1</v>
      </c>
      <c r="D183" s="52" t="s">
        <v>66</v>
      </c>
      <c r="E183" s="148">
        <v>36421.893750000003</v>
      </c>
      <c r="F183" s="146">
        <v>0</v>
      </c>
      <c r="G183" s="146">
        <v>0</v>
      </c>
      <c r="H183" s="146">
        <v>0</v>
      </c>
      <c r="I183" s="106"/>
      <c r="J183" s="92">
        <f t="shared" si="85"/>
        <v>36421.893750000003</v>
      </c>
    </row>
    <row r="184" spans="2:10" s="54" customFormat="1" x14ac:dyDescent="0.25">
      <c r="B184" s="50" t="s">
        <v>107</v>
      </c>
      <c r="C184" s="51">
        <v>2</v>
      </c>
      <c r="D184" s="52" t="s">
        <v>68</v>
      </c>
      <c r="E184" s="147">
        <v>46200</v>
      </c>
      <c r="F184" s="147">
        <f>8000+2000</f>
        <v>10000</v>
      </c>
      <c r="G184" s="146">
        <v>0</v>
      </c>
      <c r="H184" s="146">
        <v>0</v>
      </c>
      <c r="I184" s="107"/>
      <c r="J184" s="92">
        <f t="shared" ref="J184:J188" si="86">SUM(E184:G184)-H184</f>
        <v>56200</v>
      </c>
    </row>
    <row r="185" spans="2:10" s="54" customFormat="1" x14ac:dyDescent="0.25">
      <c r="B185" s="50" t="s">
        <v>107</v>
      </c>
      <c r="C185" s="51">
        <v>3</v>
      </c>
      <c r="D185" s="55" t="s">
        <v>193</v>
      </c>
      <c r="E185" s="146">
        <v>0</v>
      </c>
      <c r="F185" s="146">
        <v>3000</v>
      </c>
      <c r="G185" s="146">
        <v>0</v>
      </c>
      <c r="H185" s="146">
        <v>0</v>
      </c>
      <c r="I185" s="107"/>
      <c r="J185" s="92">
        <f t="shared" ref="J185" si="87">SUM(E185:G185)-H185</f>
        <v>3000</v>
      </c>
    </row>
    <row r="186" spans="2:10" s="54" customFormat="1" x14ac:dyDescent="0.25">
      <c r="B186" s="50" t="s">
        <v>107</v>
      </c>
      <c r="C186" s="51">
        <v>4</v>
      </c>
      <c r="D186" s="55" t="s">
        <v>69</v>
      </c>
      <c r="E186" s="146">
        <v>34650</v>
      </c>
      <c r="F186" s="146">
        <v>0</v>
      </c>
      <c r="G186" s="146">
        <v>0</v>
      </c>
      <c r="H186" s="146">
        <v>0</v>
      </c>
      <c r="I186" s="107"/>
      <c r="J186" s="92">
        <f t="shared" si="86"/>
        <v>34650</v>
      </c>
    </row>
    <row r="187" spans="2:10" s="54" customFormat="1" x14ac:dyDescent="0.25">
      <c r="B187" s="50" t="s">
        <v>107</v>
      </c>
      <c r="C187" s="51">
        <v>5</v>
      </c>
      <c r="D187" s="55" t="s">
        <v>70</v>
      </c>
      <c r="E187" s="146">
        <v>0</v>
      </c>
      <c r="F187" s="146">
        <f>3240+2700</f>
        <v>5940</v>
      </c>
      <c r="G187" s="146">
        <v>0</v>
      </c>
      <c r="H187" s="146">
        <v>0</v>
      </c>
      <c r="I187" s="107"/>
      <c r="J187" s="92">
        <f t="shared" si="86"/>
        <v>5940</v>
      </c>
    </row>
    <row r="188" spans="2:10" s="54" customFormat="1" x14ac:dyDescent="0.25">
      <c r="B188" s="50" t="s">
        <v>107</v>
      </c>
      <c r="C188" s="51">
        <v>6</v>
      </c>
      <c r="D188" s="55" t="s">
        <v>71</v>
      </c>
      <c r="E188" s="146">
        <v>0</v>
      </c>
      <c r="F188" s="146">
        <f>12000+7000+1500+1500+1000+1500</f>
        <v>24500</v>
      </c>
      <c r="G188" s="146">
        <v>0</v>
      </c>
      <c r="H188" s="146">
        <v>0</v>
      </c>
      <c r="I188" s="106"/>
      <c r="J188" s="92">
        <f t="shared" si="86"/>
        <v>24500</v>
      </c>
    </row>
    <row r="189" spans="2:10" s="54" customFormat="1" x14ac:dyDescent="0.25">
      <c r="B189" s="50" t="s">
        <v>107</v>
      </c>
      <c r="C189" s="51">
        <v>7</v>
      </c>
      <c r="D189" s="52" t="s">
        <v>52</v>
      </c>
      <c r="E189" s="146">
        <v>0</v>
      </c>
      <c r="F189" s="146">
        <v>0</v>
      </c>
      <c r="G189" s="146">
        <f>12000+12000</f>
        <v>24000</v>
      </c>
      <c r="H189" s="146">
        <v>0</v>
      </c>
      <c r="I189" s="106"/>
      <c r="J189" s="92">
        <f t="shared" si="85"/>
        <v>24000</v>
      </c>
    </row>
    <row r="190" spans="2:10" s="54" customFormat="1" x14ac:dyDescent="0.25">
      <c r="B190" s="50" t="s">
        <v>107</v>
      </c>
      <c r="C190" s="51">
        <v>8</v>
      </c>
      <c r="D190" s="52" t="s">
        <v>72</v>
      </c>
      <c r="E190" s="146">
        <v>0</v>
      </c>
      <c r="F190" s="146">
        <v>0</v>
      </c>
      <c r="G190" s="146">
        <f>5800+2780</f>
        <v>8580</v>
      </c>
      <c r="H190" s="146">
        <v>0</v>
      </c>
      <c r="I190" s="107"/>
      <c r="J190" s="92">
        <f t="shared" si="85"/>
        <v>8580</v>
      </c>
    </row>
    <row r="191" spans="2:10" s="54" customFormat="1" x14ac:dyDescent="0.25">
      <c r="B191" s="50" t="s">
        <v>107</v>
      </c>
      <c r="C191" s="51">
        <v>9</v>
      </c>
      <c r="D191" s="55" t="s">
        <v>73</v>
      </c>
      <c r="E191" s="146">
        <v>0</v>
      </c>
      <c r="F191" s="146">
        <v>0</v>
      </c>
      <c r="G191" s="146">
        <f>2500+720+500</f>
        <v>3720</v>
      </c>
      <c r="H191" s="146">
        <v>0</v>
      </c>
      <c r="I191" s="107"/>
      <c r="J191" s="92">
        <f t="shared" si="85"/>
        <v>3720</v>
      </c>
    </row>
    <row r="192" spans="2:10" s="54" customFormat="1" x14ac:dyDescent="0.25">
      <c r="B192" s="50"/>
      <c r="C192" s="51"/>
      <c r="D192" s="52"/>
      <c r="E192" s="146">
        <v>0</v>
      </c>
      <c r="F192" s="146">
        <v>0</v>
      </c>
      <c r="G192" s="146">
        <v>0</v>
      </c>
      <c r="H192" s="146">
        <v>0</v>
      </c>
      <c r="I192" s="106"/>
      <c r="J192" s="92">
        <f t="shared" si="85"/>
        <v>0</v>
      </c>
    </row>
    <row r="193" spans="2:10" s="54" customFormat="1" x14ac:dyDescent="0.25">
      <c r="B193" s="50"/>
      <c r="C193" s="51"/>
      <c r="D193" s="52"/>
      <c r="E193" s="146">
        <v>0</v>
      </c>
      <c r="F193" s="146">
        <v>0</v>
      </c>
      <c r="G193" s="146">
        <v>0</v>
      </c>
      <c r="H193" s="146">
        <v>0</v>
      </c>
      <c r="I193" s="106"/>
      <c r="J193" s="92">
        <f t="shared" si="85"/>
        <v>0</v>
      </c>
    </row>
    <row r="194" spans="2:10" x14ac:dyDescent="0.25">
      <c r="B194" s="50"/>
      <c r="C194" s="51"/>
      <c r="D194" s="45" t="s">
        <v>22</v>
      </c>
      <c r="E194" s="92">
        <f>+SUM(E182:E193)</f>
        <v>124939.2375</v>
      </c>
      <c r="F194" s="92">
        <f>+SUM(F182:F193)</f>
        <v>43440</v>
      </c>
      <c r="G194" s="92">
        <f>+SUM(G182:G193)</f>
        <v>36300</v>
      </c>
      <c r="H194" s="92">
        <f>+SUM(H182:H193)</f>
        <v>0</v>
      </c>
      <c r="I194" s="92"/>
      <c r="J194" s="92">
        <f>+SUM(J182:J193)</f>
        <v>204679.23749999999</v>
      </c>
    </row>
    <row r="195" spans="2:10" s="5" customFormat="1" x14ac:dyDescent="0.25">
      <c r="B195" s="89"/>
      <c r="C195" s="90"/>
      <c r="D195" s="123" t="s">
        <v>37</v>
      </c>
      <c r="E195" s="58">
        <f>+E194</f>
        <v>124939.2375</v>
      </c>
      <c r="F195" s="58">
        <f t="shared" ref="F195:J195" si="88">+F194</f>
        <v>43440</v>
      </c>
      <c r="G195" s="58">
        <f t="shared" si="88"/>
        <v>36300</v>
      </c>
      <c r="H195" s="58">
        <f t="shared" ref="H195" si="89">+H194</f>
        <v>0</v>
      </c>
      <c r="I195" s="58"/>
      <c r="J195" s="58">
        <f t="shared" si="88"/>
        <v>204679.23749999999</v>
      </c>
    </row>
    <row r="196" spans="2:10" s="14" customFormat="1" hidden="1" x14ac:dyDescent="0.25">
      <c r="B196" s="23"/>
      <c r="C196" s="24"/>
      <c r="D196" s="25"/>
      <c r="E196" s="26"/>
      <c r="F196" s="26"/>
      <c r="G196" s="26"/>
      <c r="H196" s="26"/>
      <c r="I196" s="26"/>
      <c r="J196" s="26"/>
    </row>
    <row r="197" spans="2:10" s="54" customFormat="1" hidden="1" x14ac:dyDescent="0.25">
      <c r="B197" s="50"/>
      <c r="C197" s="51"/>
      <c r="D197" s="52"/>
      <c r="E197" s="53"/>
      <c r="F197" s="53"/>
      <c r="G197" s="53"/>
      <c r="H197" s="53"/>
      <c r="I197" s="53"/>
      <c r="J197" s="92">
        <f t="shared" ref="J197" si="90">SUM(E197:G197)-H197</f>
        <v>0</v>
      </c>
    </row>
    <row r="198" spans="2:10" hidden="1" x14ac:dyDescent="0.25">
      <c r="B198" s="50"/>
      <c r="C198" s="51"/>
      <c r="D198" s="45" t="s">
        <v>22</v>
      </c>
      <c r="E198" s="92">
        <f>+SUM(E197)</f>
        <v>0</v>
      </c>
      <c r="F198" s="92">
        <f t="shared" ref="F198:J198" si="91">+SUM(F197)</f>
        <v>0</v>
      </c>
      <c r="G198" s="92">
        <f t="shared" si="91"/>
        <v>0</v>
      </c>
      <c r="H198" s="92">
        <f t="shared" si="91"/>
        <v>0</v>
      </c>
      <c r="I198" s="92"/>
      <c r="J198" s="92">
        <f t="shared" si="91"/>
        <v>0</v>
      </c>
    </row>
    <row r="199" spans="2:10" s="5" customFormat="1" hidden="1" x14ac:dyDescent="0.25">
      <c r="B199" s="93"/>
      <c r="C199" s="94"/>
      <c r="D199" s="95" t="s">
        <v>24</v>
      </c>
      <c r="E199" s="96">
        <f>+E198</f>
        <v>0</v>
      </c>
      <c r="F199" s="96">
        <f t="shared" ref="F199:G199" si="92">+F198</f>
        <v>0</v>
      </c>
      <c r="G199" s="96">
        <f t="shared" si="92"/>
        <v>0</v>
      </c>
      <c r="H199" s="96">
        <f t="shared" ref="H199" si="93">+H198</f>
        <v>0</v>
      </c>
      <c r="I199" s="96"/>
      <c r="J199" s="96">
        <f t="shared" ref="J199" si="94">+J198</f>
        <v>0</v>
      </c>
    </row>
    <row r="200" spans="2:10" s="54" customFormat="1" x14ac:dyDescent="0.25"/>
    <row r="201" spans="2:10" x14ac:dyDescent="0.25">
      <c r="B201" s="175" t="s">
        <v>23</v>
      </c>
      <c r="C201" s="176"/>
      <c r="D201" s="176"/>
      <c r="E201" s="59"/>
      <c r="F201" s="59"/>
      <c r="G201" s="59"/>
      <c r="H201" s="59"/>
      <c r="I201" s="59"/>
      <c r="J201" s="59"/>
    </row>
    <row r="202" spans="2:10" s="5" customFormat="1" x14ac:dyDescent="0.25">
      <c r="B202" s="39"/>
      <c r="C202" s="40" t="s">
        <v>2</v>
      </c>
      <c r="D202" s="91" t="s">
        <v>1</v>
      </c>
      <c r="E202" s="4" t="s">
        <v>4</v>
      </c>
      <c r="F202" s="4" t="s">
        <v>18</v>
      </c>
      <c r="G202" s="4" t="s">
        <v>19</v>
      </c>
      <c r="H202" s="4" t="s">
        <v>44</v>
      </c>
      <c r="I202" s="4" t="s">
        <v>20</v>
      </c>
      <c r="J202" s="4" t="s">
        <v>21</v>
      </c>
    </row>
    <row r="203" spans="2:10" x14ac:dyDescent="0.25">
      <c r="B203" s="46"/>
      <c r="C203" s="47">
        <v>1</v>
      </c>
      <c r="D203" s="52" t="s">
        <v>45</v>
      </c>
      <c r="E203" s="146">
        <v>0</v>
      </c>
      <c r="F203" s="146">
        <v>235000</v>
      </c>
      <c r="G203" s="146">
        <v>0</v>
      </c>
      <c r="H203" s="146">
        <v>0</v>
      </c>
      <c r="I203" s="8"/>
      <c r="J203" s="92">
        <f t="shared" ref="J203" si="95">SUM(E203:G203)-H203</f>
        <v>235000</v>
      </c>
    </row>
    <row r="204" spans="2:10" x14ac:dyDescent="0.25">
      <c r="B204" s="142"/>
      <c r="C204" s="143">
        <v>2</v>
      </c>
      <c r="D204" s="52" t="s">
        <v>160</v>
      </c>
      <c r="E204" s="146">
        <v>0</v>
      </c>
      <c r="F204" s="146">
        <v>0</v>
      </c>
      <c r="G204" s="146">
        <v>92945</v>
      </c>
      <c r="H204" s="146">
        <v>0</v>
      </c>
      <c r="I204" s="53"/>
      <c r="J204" s="92">
        <f t="shared" ref="J204:J208" si="96">SUM(E204:G204)-H204</f>
        <v>92945</v>
      </c>
    </row>
    <row r="205" spans="2:10" x14ac:dyDescent="0.25">
      <c r="B205" s="142"/>
      <c r="C205" s="143">
        <v>2</v>
      </c>
      <c r="D205" s="52" t="s">
        <v>161</v>
      </c>
      <c r="E205" s="146">
        <v>0</v>
      </c>
      <c r="F205" s="146">
        <v>0</v>
      </c>
      <c r="G205" s="146">
        <v>23875</v>
      </c>
      <c r="H205" s="146">
        <v>0</v>
      </c>
      <c r="I205" s="53"/>
      <c r="J205" s="92">
        <f t="shared" si="96"/>
        <v>23875</v>
      </c>
    </row>
    <row r="206" spans="2:10" x14ac:dyDescent="0.25">
      <c r="B206" s="142"/>
      <c r="C206" s="143">
        <v>3</v>
      </c>
      <c r="D206" s="52" t="s">
        <v>58</v>
      </c>
      <c r="E206" s="146">
        <v>0</v>
      </c>
      <c r="F206" s="146">
        <v>0</v>
      </c>
      <c r="G206" s="146">
        <v>53375</v>
      </c>
      <c r="H206" s="146">
        <v>0</v>
      </c>
      <c r="I206" s="53"/>
      <c r="J206" s="92">
        <f t="shared" si="96"/>
        <v>53375</v>
      </c>
    </row>
    <row r="207" spans="2:10" x14ac:dyDescent="0.25">
      <c r="B207" s="142"/>
      <c r="C207" s="143">
        <v>4</v>
      </c>
      <c r="D207" s="144" t="s">
        <v>162</v>
      </c>
      <c r="E207" s="146">
        <v>0</v>
      </c>
      <c r="F207" s="146">
        <v>2000</v>
      </c>
      <c r="G207" s="146">
        <v>65000</v>
      </c>
      <c r="H207" s="146">
        <v>0</v>
      </c>
      <c r="I207" s="53"/>
      <c r="J207" s="92">
        <f t="shared" si="96"/>
        <v>67000</v>
      </c>
    </row>
    <row r="208" spans="2:10" x14ac:dyDescent="0.25">
      <c r="B208" s="142"/>
      <c r="C208" s="143"/>
      <c r="D208" s="144"/>
      <c r="E208" s="146">
        <v>0</v>
      </c>
      <c r="F208" s="146">
        <v>0</v>
      </c>
      <c r="G208" s="146">
        <v>0</v>
      </c>
      <c r="H208" s="146">
        <v>0</v>
      </c>
      <c r="I208" s="53"/>
      <c r="J208" s="92">
        <f t="shared" si="96"/>
        <v>0</v>
      </c>
    </row>
    <row r="209" spans="2:10" x14ac:dyDescent="0.25">
      <c r="B209" s="50"/>
      <c r="C209" s="51"/>
      <c r="D209" s="45" t="s">
        <v>22</v>
      </c>
      <c r="E209" s="92">
        <f>+SUM(E203:E208)</f>
        <v>0</v>
      </c>
      <c r="F209" s="92">
        <f>+SUM(F203:F208)</f>
        <v>237000</v>
      </c>
      <c r="G209" s="92">
        <f>+SUM(G203:G208)</f>
        <v>235195</v>
      </c>
      <c r="H209" s="92">
        <f>+SUM(H203:H208)</f>
        <v>0</v>
      </c>
      <c r="I209" s="92"/>
      <c r="J209" s="92">
        <f>+SUM(J203:J208)</f>
        <v>472195</v>
      </c>
    </row>
    <row r="210" spans="2:10" s="5" customFormat="1" x14ac:dyDescent="0.25">
      <c r="B210" s="127"/>
      <c r="C210" s="128"/>
      <c r="D210" s="60" t="s">
        <v>38</v>
      </c>
      <c r="E210" s="61">
        <f>+E209</f>
        <v>0</v>
      </c>
      <c r="F210" s="61">
        <f>+F209</f>
        <v>237000</v>
      </c>
      <c r="G210" s="61">
        <f>+G209</f>
        <v>235195</v>
      </c>
      <c r="H210" s="61">
        <f>+H209</f>
        <v>0</v>
      </c>
      <c r="I210" s="61"/>
      <c r="J210" s="61">
        <f>+J209</f>
        <v>472195</v>
      </c>
    </row>
    <row r="211" spans="2:10" s="14" customFormat="1" hidden="1" x14ac:dyDescent="0.25">
      <c r="B211" s="23"/>
      <c r="C211" s="24"/>
      <c r="D211" s="25"/>
      <c r="E211" s="26"/>
      <c r="F211" s="26"/>
      <c r="G211" s="26"/>
      <c r="H211" s="26"/>
      <c r="I211" s="26"/>
      <c r="J211" s="26"/>
    </row>
    <row r="212" spans="2:10" hidden="1" x14ac:dyDescent="0.25">
      <c r="B212" s="46"/>
      <c r="C212" s="47"/>
      <c r="D212" s="7"/>
      <c r="E212" s="53"/>
      <c r="F212" s="53"/>
      <c r="G212" s="53"/>
      <c r="H212" s="53"/>
      <c r="I212" s="8"/>
      <c r="J212" s="92">
        <f t="shared" ref="J212" si="97">SUM(E212:G212)-H212</f>
        <v>0</v>
      </c>
    </row>
    <row r="213" spans="2:10" hidden="1" x14ac:dyDescent="0.25">
      <c r="B213" s="41"/>
      <c r="C213" s="42"/>
      <c r="D213" s="7"/>
      <c r="E213" s="53"/>
      <c r="F213" s="53"/>
      <c r="G213" s="53"/>
      <c r="H213" s="53"/>
      <c r="I213" s="8"/>
      <c r="J213" s="92">
        <f>SUM(E213:G213)-H213</f>
        <v>0</v>
      </c>
    </row>
    <row r="214" spans="2:10" hidden="1" x14ac:dyDescent="0.25">
      <c r="B214" s="41"/>
      <c r="C214" s="42"/>
      <c r="D214" s="7"/>
      <c r="E214" s="53"/>
      <c r="F214" s="53"/>
      <c r="G214" s="53"/>
      <c r="H214" s="53"/>
      <c r="I214" s="8"/>
      <c r="J214" s="92">
        <f>SUM(E214:G214)-H214</f>
        <v>0</v>
      </c>
    </row>
    <row r="215" spans="2:10" hidden="1" x14ac:dyDescent="0.25">
      <c r="B215" s="50"/>
      <c r="C215" s="51"/>
      <c r="D215" s="45" t="s">
        <v>22</v>
      </c>
      <c r="E215" s="92">
        <f>+SUM(E212:E214)</f>
        <v>0</v>
      </c>
      <c r="F215" s="92">
        <f t="shared" ref="F215:J215" si="98">+SUM(F212:F214)</f>
        <v>0</v>
      </c>
      <c r="G215" s="92">
        <f t="shared" si="98"/>
        <v>0</v>
      </c>
      <c r="H215" s="92">
        <f t="shared" si="98"/>
        <v>0</v>
      </c>
      <c r="I215" s="92"/>
      <c r="J215" s="92">
        <f t="shared" si="98"/>
        <v>0</v>
      </c>
    </row>
    <row r="216" spans="2:10" s="5" customFormat="1" hidden="1" x14ac:dyDescent="0.25">
      <c r="B216" s="138"/>
      <c r="C216" s="139"/>
      <c r="D216" s="140" t="s">
        <v>43</v>
      </c>
      <c r="E216" s="141">
        <f>+E215</f>
        <v>0</v>
      </c>
      <c r="F216" s="141">
        <f t="shared" ref="F216:G216" si="99">+F215</f>
        <v>0</v>
      </c>
      <c r="G216" s="141">
        <f t="shared" si="99"/>
        <v>0</v>
      </c>
      <c r="H216" s="141">
        <f t="shared" ref="H216" si="100">+H215</f>
        <v>0</v>
      </c>
      <c r="I216" s="141"/>
      <c r="J216" s="141">
        <f t="shared" ref="J216" si="101">+J215</f>
        <v>0</v>
      </c>
    </row>
    <row r="217" spans="2:10" s="14" customFormat="1" x14ac:dyDescent="0.25">
      <c r="B217" s="23"/>
      <c r="C217" s="24"/>
      <c r="D217" s="25"/>
      <c r="E217" s="26"/>
      <c r="F217" s="26"/>
      <c r="G217" s="26"/>
      <c r="H217" s="26"/>
      <c r="I217" s="26"/>
      <c r="J217" s="26"/>
    </row>
    <row r="218" spans="2:10" x14ac:dyDescent="0.25">
      <c r="B218" s="202" t="s">
        <v>41</v>
      </c>
      <c r="C218" s="203"/>
      <c r="D218" s="203"/>
      <c r="E218" s="133"/>
      <c r="F218" s="133"/>
      <c r="G218" s="133"/>
      <c r="H218" s="133"/>
      <c r="I218" s="133"/>
      <c r="J218" s="133"/>
    </row>
    <row r="219" spans="2:10" s="5" customFormat="1" x14ac:dyDescent="0.25">
      <c r="B219" s="39"/>
      <c r="C219" s="40" t="s">
        <v>2</v>
      </c>
      <c r="D219" s="126" t="s">
        <v>1</v>
      </c>
      <c r="E219" s="4" t="s">
        <v>4</v>
      </c>
      <c r="F219" s="4" t="s">
        <v>18</v>
      </c>
      <c r="G219" s="4" t="s">
        <v>19</v>
      </c>
      <c r="H219" s="4" t="s">
        <v>44</v>
      </c>
      <c r="I219" s="4" t="s">
        <v>20</v>
      </c>
      <c r="J219" s="4" t="s">
        <v>21</v>
      </c>
    </row>
    <row r="220" spans="2:10" x14ac:dyDescent="0.25">
      <c r="B220" s="142" t="s">
        <v>102</v>
      </c>
      <c r="C220" s="143">
        <v>1</v>
      </c>
      <c r="D220" s="52" t="s">
        <v>101</v>
      </c>
      <c r="E220" s="146">
        <v>0</v>
      </c>
      <c r="F220" s="146">
        <v>2500</v>
      </c>
      <c r="G220" s="146">
        <v>0</v>
      </c>
      <c r="H220" s="146">
        <v>0</v>
      </c>
      <c r="I220" s="53"/>
      <c r="J220" s="92">
        <f>SUM(E220:G220)-H220</f>
        <v>2500</v>
      </c>
    </row>
    <row r="221" spans="2:10" x14ac:dyDescent="0.25">
      <c r="B221" s="156"/>
      <c r="C221" s="157"/>
      <c r="D221" s="158"/>
      <c r="E221" s="159"/>
      <c r="F221" s="159"/>
      <c r="G221" s="159"/>
      <c r="H221" s="159"/>
      <c r="I221" s="160"/>
      <c r="J221" s="161"/>
    </row>
    <row r="222" spans="2:10" x14ac:dyDescent="0.25">
      <c r="B222" s="142" t="s">
        <v>106</v>
      </c>
      <c r="C222" s="143">
        <v>1</v>
      </c>
      <c r="D222" s="52" t="s">
        <v>105</v>
      </c>
      <c r="E222" s="146">
        <v>5292</v>
      </c>
      <c r="F222" s="146">
        <v>0</v>
      </c>
      <c r="G222" s="146">
        <v>0</v>
      </c>
      <c r="H222" s="146">
        <v>0</v>
      </c>
      <c r="I222" s="53"/>
      <c r="J222" s="92">
        <f>SUM(E222:G222)-H222</f>
        <v>5292</v>
      </c>
    </row>
    <row r="223" spans="2:10" x14ac:dyDescent="0.25">
      <c r="B223" s="142" t="s">
        <v>104</v>
      </c>
      <c r="C223" s="143">
        <v>2</v>
      </c>
      <c r="D223" s="52" t="s">
        <v>103</v>
      </c>
      <c r="E223" s="146">
        <v>6030</v>
      </c>
      <c r="F223" s="146">
        <v>400</v>
      </c>
      <c r="G223" s="146">
        <v>0</v>
      </c>
      <c r="H223" s="146">
        <v>0</v>
      </c>
      <c r="I223" s="53"/>
      <c r="J223" s="92">
        <f>SUM(E223:G223)-H223</f>
        <v>6430</v>
      </c>
    </row>
    <row r="224" spans="2:10" x14ac:dyDescent="0.25">
      <c r="B224" s="46"/>
      <c r="C224" s="47"/>
      <c r="D224" s="52"/>
      <c r="E224" s="146">
        <v>0</v>
      </c>
      <c r="F224" s="146">
        <v>0</v>
      </c>
      <c r="G224" s="146">
        <v>0</v>
      </c>
      <c r="H224" s="146">
        <v>0</v>
      </c>
      <c r="I224" s="8"/>
      <c r="J224" s="92">
        <f t="shared" ref="J224" si="102">SUM(E224:G224)-H224</f>
        <v>0</v>
      </c>
    </row>
    <row r="225" spans="2:12" x14ac:dyDescent="0.25">
      <c r="B225" s="46"/>
      <c r="C225" s="47"/>
      <c r="D225" s="52"/>
      <c r="E225" s="146">
        <v>0</v>
      </c>
      <c r="F225" s="146">
        <v>0</v>
      </c>
      <c r="G225" s="146">
        <v>0</v>
      </c>
      <c r="H225" s="146">
        <v>0</v>
      </c>
      <c r="I225" s="8"/>
      <c r="J225" s="92">
        <f t="shared" ref="J225" si="103">SUM(E225:G225)-H225</f>
        <v>0</v>
      </c>
    </row>
    <row r="226" spans="2:12" x14ac:dyDescent="0.25">
      <c r="B226" s="43"/>
      <c r="C226" s="44"/>
      <c r="D226" s="45" t="s">
        <v>22</v>
      </c>
      <c r="E226" s="92">
        <f>+SUM(E220:E225)</f>
        <v>11322</v>
      </c>
      <c r="F226" s="92">
        <f>+SUM(F220:F225)</f>
        <v>2900</v>
      </c>
      <c r="G226" s="92">
        <f>+SUM(G220:G225)</f>
        <v>0</v>
      </c>
      <c r="H226" s="92">
        <f>+SUM(H220:H225)</f>
        <v>0</v>
      </c>
      <c r="I226" s="92">
        <f>+SUM(I220:I225)</f>
        <v>0</v>
      </c>
      <c r="J226" s="92">
        <f>+SUM(J220:J225)</f>
        <v>14222</v>
      </c>
    </row>
    <row r="227" spans="2:12" s="5" customFormat="1" x14ac:dyDescent="0.25">
      <c r="B227" s="134"/>
      <c r="C227" s="135"/>
      <c r="D227" s="136" t="s">
        <v>42</v>
      </c>
      <c r="E227" s="137">
        <f>+E226</f>
        <v>11322</v>
      </c>
      <c r="F227" s="137">
        <f t="shared" ref="F227:G227" si="104">+F226</f>
        <v>2900</v>
      </c>
      <c r="G227" s="137">
        <f t="shared" si="104"/>
        <v>0</v>
      </c>
      <c r="H227" s="137">
        <f t="shared" ref="H227" si="105">+H226</f>
        <v>0</v>
      </c>
      <c r="I227" s="137"/>
      <c r="J227" s="137">
        <f t="shared" ref="J227" si="106">+J226</f>
        <v>14222</v>
      </c>
    </row>
    <row r="228" spans="2:12" s="14" customFormat="1" x14ac:dyDescent="0.25">
      <c r="B228" s="23"/>
      <c r="C228" s="24"/>
      <c r="D228" s="25"/>
      <c r="E228" s="26"/>
      <c r="F228" s="26"/>
      <c r="G228" s="26"/>
      <c r="H228" s="26"/>
      <c r="I228" s="26"/>
      <c r="J228" s="26"/>
    </row>
    <row r="229" spans="2:12" x14ac:dyDescent="0.25">
      <c r="B229" s="204" t="s">
        <v>9</v>
      </c>
      <c r="C229" s="204"/>
      <c r="D229" s="204"/>
      <c r="E229" s="38"/>
      <c r="F229" s="38"/>
      <c r="G229" s="38"/>
      <c r="H229" s="38"/>
      <c r="I229" s="38"/>
      <c r="J229" s="38"/>
    </row>
    <row r="230" spans="2:12" s="5" customFormat="1" x14ac:dyDescent="0.25">
      <c r="B230" s="39"/>
      <c r="C230" s="40" t="s">
        <v>2</v>
      </c>
      <c r="D230" s="91" t="s">
        <v>1</v>
      </c>
      <c r="E230" s="4" t="s">
        <v>4</v>
      </c>
      <c r="F230" s="4" t="s">
        <v>18</v>
      </c>
      <c r="G230" s="4" t="s">
        <v>19</v>
      </c>
      <c r="H230" s="4" t="s">
        <v>44</v>
      </c>
      <c r="I230" s="4" t="s">
        <v>20</v>
      </c>
      <c r="J230" s="4" t="s">
        <v>21</v>
      </c>
    </row>
    <row r="231" spans="2:12" x14ac:dyDescent="0.25">
      <c r="B231" s="41" t="s">
        <v>83</v>
      </c>
      <c r="C231" s="42">
        <v>1</v>
      </c>
      <c r="D231" s="7" t="s">
        <v>84</v>
      </c>
      <c r="E231" s="146">
        <v>0</v>
      </c>
      <c r="F231" s="146">
        <v>0</v>
      </c>
      <c r="G231" s="146">
        <v>150000</v>
      </c>
      <c r="H231" s="146">
        <v>0</v>
      </c>
      <c r="I231" s="105"/>
      <c r="J231" s="92">
        <f t="shared" ref="J231:J250" si="107">SUM(E231:G231)-H231</f>
        <v>150000</v>
      </c>
    </row>
    <row r="232" spans="2:12" x14ac:dyDescent="0.25">
      <c r="B232" s="41" t="s">
        <v>83</v>
      </c>
      <c r="C232" s="42">
        <v>2</v>
      </c>
      <c r="D232" s="7" t="s">
        <v>85</v>
      </c>
      <c r="E232" s="146">
        <v>0</v>
      </c>
      <c r="F232" s="146">
        <v>100000</v>
      </c>
      <c r="G232" s="146">
        <v>0</v>
      </c>
      <c r="H232" s="146">
        <v>0</v>
      </c>
      <c r="I232" s="105"/>
      <c r="J232" s="92">
        <f t="shared" si="107"/>
        <v>100000</v>
      </c>
    </row>
    <row r="233" spans="2:12" x14ac:dyDescent="0.25">
      <c r="B233" s="41" t="s">
        <v>83</v>
      </c>
      <c r="C233" s="42">
        <v>3</v>
      </c>
      <c r="D233" s="7" t="s">
        <v>54</v>
      </c>
      <c r="E233" s="146">
        <v>0</v>
      </c>
      <c r="F233" s="146">
        <v>0</v>
      </c>
      <c r="G233" s="146">
        <v>50000</v>
      </c>
      <c r="H233" s="146">
        <v>0</v>
      </c>
      <c r="I233" s="105"/>
      <c r="J233" s="92">
        <f t="shared" si="107"/>
        <v>50000</v>
      </c>
    </row>
    <row r="234" spans="2:12" x14ac:dyDescent="0.25">
      <c r="B234" s="41" t="s">
        <v>83</v>
      </c>
      <c r="C234" s="42">
        <v>4</v>
      </c>
      <c r="D234" s="7" t="s">
        <v>88</v>
      </c>
      <c r="E234" s="146">
        <v>0</v>
      </c>
      <c r="F234" s="146">
        <v>20000</v>
      </c>
      <c r="G234" s="146">
        <v>0</v>
      </c>
      <c r="H234" s="146">
        <v>0</v>
      </c>
      <c r="I234" s="105"/>
      <c r="J234" s="92">
        <f t="shared" si="107"/>
        <v>20000</v>
      </c>
    </row>
    <row r="235" spans="2:12" x14ac:dyDescent="0.25">
      <c r="B235" s="41" t="s">
        <v>83</v>
      </c>
      <c r="C235" s="42">
        <v>5</v>
      </c>
      <c r="D235" s="7" t="s">
        <v>89</v>
      </c>
      <c r="E235" s="146">
        <f>242049+54000+5000</f>
        <v>301049</v>
      </c>
      <c r="F235" s="146">
        <f>2000+35000+1800+1000+3000+375+3550+13925+2090+5000+4000+2500+250+150+4000+200+75+425</f>
        <v>79340</v>
      </c>
      <c r="G235" s="146">
        <v>0</v>
      </c>
      <c r="H235" s="146">
        <v>0</v>
      </c>
      <c r="I235" s="105"/>
      <c r="J235" s="92">
        <f t="shared" si="107"/>
        <v>380389</v>
      </c>
    </row>
    <row r="236" spans="2:12" x14ac:dyDescent="0.25">
      <c r="B236" s="41" t="s">
        <v>83</v>
      </c>
      <c r="C236" s="42">
        <v>6</v>
      </c>
      <c r="D236" s="7" t="s">
        <v>90</v>
      </c>
      <c r="E236" s="146">
        <v>0</v>
      </c>
      <c r="F236" s="146">
        <v>0</v>
      </c>
      <c r="G236" s="146">
        <f>45000+20000+25000+10000</f>
        <v>100000</v>
      </c>
      <c r="H236" s="146">
        <v>0</v>
      </c>
      <c r="I236" s="105"/>
      <c r="J236" s="92">
        <f t="shared" si="107"/>
        <v>100000</v>
      </c>
    </row>
    <row r="237" spans="2:12" x14ac:dyDescent="0.25">
      <c r="B237" s="150"/>
      <c r="C237" s="151"/>
      <c r="D237" s="152"/>
      <c r="E237" s="153"/>
      <c r="F237" s="153"/>
      <c r="G237" s="153"/>
      <c r="H237" s="153"/>
      <c r="I237" s="154"/>
      <c r="J237" s="155"/>
    </row>
    <row r="238" spans="2:12" x14ac:dyDescent="0.25">
      <c r="B238" s="41" t="s">
        <v>92</v>
      </c>
      <c r="C238" s="42">
        <v>1</v>
      </c>
      <c r="D238" s="7" t="s">
        <v>91</v>
      </c>
      <c r="E238" s="146">
        <f>511000+50000</f>
        <v>561000</v>
      </c>
      <c r="F238" s="146">
        <f>23500+50000</f>
        <v>73500</v>
      </c>
      <c r="G238" s="146">
        <f>7500+16000</f>
        <v>23500</v>
      </c>
      <c r="H238" s="146">
        <v>0</v>
      </c>
      <c r="I238" s="105"/>
      <c r="J238" s="92">
        <f t="shared" si="107"/>
        <v>658000</v>
      </c>
      <c r="K238" s="149">
        <f>827000-J238</f>
        <v>169000</v>
      </c>
      <c r="L238" s="1" t="s">
        <v>94</v>
      </c>
    </row>
    <row r="239" spans="2:12" x14ac:dyDescent="0.25">
      <c r="B239" s="41" t="s">
        <v>92</v>
      </c>
      <c r="C239" s="42">
        <v>2</v>
      </c>
      <c r="D239" s="7" t="s">
        <v>53</v>
      </c>
      <c r="E239" s="146">
        <v>0</v>
      </c>
      <c r="F239" s="146">
        <v>0</v>
      </c>
      <c r="G239" s="146">
        <v>500000</v>
      </c>
      <c r="H239" s="146">
        <v>0</v>
      </c>
      <c r="I239" s="105"/>
      <c r="J239" s="92">
        <f t="shared" si="107"/>
        <v>500000</v>
      </c>
    </row>
    <row r="240" spans="2:12" x14ac:dyDescent="0.25">
      <c r="B240" s="41" t="s">
        <v>92</v>
      </c>
      <c r="C240" s="42">
        <v>3</v>
      </c>
      <c r="D240" s="7" t="s">
        <v>93</v>
      </c>
      <c r="E240" s="146">
        <v>0</v>
      </c>
      <c r="F240" s="146">
        <v>5000</v>
      </c>
      <c r="G240" s="146">
        <v>0</v>
      </c>
      <c r="H240" s="146">
        <v>0</v>
      </c>
      <c r="I240" s="105"/>
      <c r="J240" s="92">
        <f t="shared" si="107"/>
        <v>5000</v>
      </c>
    </row>
    <row r="241" spans="2:12" x14ac:dyDescent="0.25">
      <c r="B241" s="150"/>
      <c r="C241" s="151"/>
      <c r="D241" s="152"/>
      <c r="E241" s="153"/>
      <c r="F241" s="153"/>
      <c r="G241" s="153"/>
      <c r="H241" s="153"/>
      <c r="I241" s="154"/>
      <c r="J241" s="155"/>
    </row>
    <row r="242" spans="2:12" x14ac:dyDescent="0.25">
      <c r="B242" s="41" t="s">
        <v>96</v>
      </c>
      <c r="C242" s="42">
        <v>1</v>
      </c>
      <c r="D242" s="7" t="s">
        <v>95</v>
      </c>
      <c r="E242" s="146">
        <f>157+670+800</f>
        <v>1627</v>
      </c>
      <c r="F242" s="146">
        <f>372+13205+490+135+20+45+50+300+640+500+1175</f>
        <v>16932</v>
      </c>
      <c r="G242" s="146">
        <v>0</v>
      </c>
      <c r="H242" s="146">
        <v>0</v>
      </c>
      <c r="I242" s="105"/>
      <c r="J242" s="92">
        <f t="shared" si="107"/>
        <v>18559</v>
      </c>
    </row>
    <row r="243" spans="2:12" x14ac:dyDescent="0.25">
      <c r="B243" s="41" t="s">
        <v>96</v>
      </c>
      <c r="C243" s="42">
        <v>2</v>
      </c>
      <c r="D243" s="7" t="s">
        <v>97</v>
      </c>
      <c r="E243" s="146">
        <f>312+1425+1600</f>
        <v>3337</v>
      </c>
      <c r="F243" s="146">
        <f>1035+8905+2726+290+35+100+110+620+1300+1100+2400</f>
        <v>18621</v>
      </c>
      <c r="G243" s="146">
        <v>0</v>
      </c>
      <c r="H243" s="146">
        <v>0</v>
      </c>
      <c r="I243" s="105"/>
      <c r="J243" s="92">
        <f t="shared" si="107"/>
        <v>21958</v>
      </c>
    </row>
    <row r="244" spans="2:12" x14ac:dyDescent="0.25">
      <c r="B244" s="41" t="s">
        <v>96</v>
      </c>
      <c r="C244" s="42">
        <v>3</v>
      </c>
      <c r="D244" s="7" t="s">
        <v>98</v>
      </c>
      <c r="E244" s="146">
        <f>156+940+950</f>
        <v>2046</v>
      </c>
      <c r="F244" s="146">
        <f>535+4512+815+190+25+65+75+220+475+350+900</f>
        <v>8162</v>
      </c>
      <c r="G244" s="146">
        <v>0</v>
      </c>
      <c r="H244" s="146">
        <v>0</v>
      </c>
      <c r="I244" s="105"/>
      <c r="J244" s="92">
        <f t="shared" si="107"/>
        <v>10208</v>
      </c>
    </row>
    <row r="245" spans="2:12" x14ac:dyDescent="0.25">
      <c r="B245" s="41" t="s">
        <v>96</v>
      </c>
      <c r="C245" s="42">
        <v>4</v>
      </c>
      <c r="D245" s="7" t="s">
        <v>55</v>
      </c>
      <c r="E245" s="146">
        <v>0</v>
      </c>
      <c r="F245" s="146">
        <v>44000</v>
      </c>
      <c r="G245" s="146">
        <v>0</v>
      </c>
      <c r="H245" s="146">
        <v>0</v>
      </c>
      <c r="I245" s="105"/>
      <c r="J245" s="92">
        <f t="shared" si="107"/>
        <v>44000</v>
      </c>
    </row>
    <row r="246" spans="2:12" x14ac:dyDescent="0.25">
      <c r="B246" s="41" t="s">
        <v>96</v>
      </c>
      <c r="C246" s="42">
        <v>5</v>
      </c>
      <c r="D246" s="7" t="s">
        <v>56</v>
      </c>
      <c r="E246" s="146">
        <v>0</v>
      </c>
      <c r="F246" s="146">
        <v>10000</v>
      </c>
      <c r="G246" s="146">
        <v>0</v>
      </c>
      <c r="H246" s="146">
        <v>0</v>
      </c>
      <c r="I246" s="105"/>
      <c r="J246" s="92">
        <f t="shared" si="107"/>
        <v>10000</v>
      </c>
    </row>
    <row r="247" spans="2:12" x14ac:dyDescent="0.25">
      <c r="B247" s="41" t="s">
        <v>96</v>
      </c>
      <c r="C247" s="42">
        <v>6</v>
      </c>
      <c r="D247" s="7" t="s">
        <v>99</v>
      </c>
      <c r="E247" s="146">
        <v>0</v>
      </c>
      <c r="F247" s="146">
        <v>5320</v>
      </c>
      <c r="G247" s="146">
        <v>0</v>
      </c>
      <c r="H247" s="146">
        <v>0</v>
      </c>
      <c r="I247" s="105"/>
      <c r="J247" s="92">
        <f t="shared" si="107"/>
        <v>5320</v>
      </c>
    </row>
    <row r="248" spans="2:12" x14ac:dyDescent="0.25">
      <c r="B248" s="41" t="s">
        <v>96</v>
      </c>
      <c r="C248" s="47">
        <v>7</v>
      </c>
      <c r="D248" s="7" t="s">
        <v>100</v>
      </c>
      <c r="E248" s="146">
        <v>0</v>
      </c>
      <c r="F248" s="146">
        <f>110000+25000</f>
        <v>135000</v>
      </c>
      <c r="G248" s="146">
        <v>0</v>
      </c>
      <c r="H248" s="146">
        <v>0</v>
      </c>
      <c r="I248" s="105"/>
      <c r="J248" s="92">
        <f t="shared" si="107"/>
        <v>135000</v>
      </c>
    </row>
    <row r="249" spans="2:12" x14ac:dyDescent="0.25">
      <c r="B249" s="46"/>
      <c r="C249" s="47"/>
      <c r="D249" s="7"/>
      <c r="E249" s="146">
        <v>0</v>
      </c>
      <c r="F249" s="146">
        <v>0</v>
      </c>
      <c r="G249" s="146">
        <v>0</v>
      </c>
      <c r="H249" s="146">
        <v>0</v>
      </c>
      <c r="I249" s="105"/>
      <c r="J249" s="92">
        <f t="shared" ref="J249" si="108">SUM(E249:G249)-H249</f>
        <v>0</v>
      </c>
    </row>
    <row r="250" spans="2:12" x14ac:dyDescent="0.25">
      <c r="B250" s="46"/>
      <c r="C250" s="47"/>
      <c r="D250" s="7"/>
      <c r="E250" s="146">
        <v>0</v>
      </c>
      <c r="F250" s="146">
        <v>0</v>
      </c>
      <c r="G250" s="146">
        <v>0</v>
      </c>
      <c r="H250" s="146">
        <v>0</v>
      </c>
      <c r="I250" s="105"/>
      <c r="J250" s="92">
        <f t="shared" si="107"/>
        <v>0</v>
      </c>
    </row>
    <row r="251" spans="2:12" x14ac:dyDescent="0.25">
      <c r="B251" s="43"/>
      <c r="C251" s="44"/>
      <c r="D251" s="45" t="s">
        <v>22</v>
      </c>
      <c r="E251" s="92">
        <f>+SUM(E231:E250)</f>
        <v>869059</v>
      </c>
      <c r="F251" s="92">
        <f>+SUM(F231:F250)</f>
        <v>515875</v>
      </c>
      <c r="G251" s="92">
        <f>+SUM(G231:G250)</f>
        <v>823500</v>
      </c>
      <c r="H251" s="92">
        <f>+SUM(H231:H250)</f>
        <v>0</v>
      </c>
      <c r="I251" s="92"/>
      <c r="J251" s="92">
        <f>+SUM(J231:J250)</f>
        <v>2208434</v>
      </c>
    </row>
    <row r="252" spans="2:12" s="5" customFormat="1" x14ac:dyDescent="0.25">
      <c r="B252" s="48"/>
      <c r="C252" s="49"/>
      <c r="D252" s="120" t="s">
        <v>10</v>
      </c>
      <c r="E252" s="121">
        <f>+E251</f>
        <v>869059</v>
      </c>
      <c r="F252" s="121">
        <f t="shared" ref="F252:J252" si="109">+F251</f>
        <v>515875</v>
      </c>
      <c r="G252" s="121">
        <f t="shared" si="109"/>
        <v>823500</v>
      </c>
      <c r="H252" s="121">
        <f t="shared" ref="H252" si="110">+H251</f>
        <v>0</v>
      </c>
      <c r="I252" s="121"/>
      <c r="J252" s="121">
        <f t="shared" si="109"/>
        <v>2208434</v>
      </c>
    </row>
    <row r="253" spans="2:12" s="14" customFormat="1" x14ac:dyDescent="0.25">
      <c r="B253" s="23"/>
      <c r="C253" s="24"/>
      <c r="D253" s="25"/>
      <c r="E253" s="26"/>
      <c r="F253" s="26"/>
      <c r="G253" s="26"/>
      <c r="H253" s="26"/>
      <c r="I253" s="26"/>
      <c r="J253" s="26"/>
    </row>
    <row r="254" spans="2:12" x14ac:dyDescent="0.25">
      <c r="B254" s="200" t="s">
        <v>14</v>
      </c>
      <c r="C254" s="201"/>
      <c r="D254" s="201"/>
      <c r="E254" s="64"/>
      <c r="F254" s="64"/>
      <c r="G254" s="64"/>
      <c r="H254" s="64"/>
      <c r="I254" s="64"/>
      <c r="J254" s="64"/>
    </row>
    <row r="255" spans="2:12" s="5" customFormat="1" x14ac:dyDescent="0.25">
      <c r="B255" s="39"/>
      <c r="C255" s="40" t="s">
        <v>2</v>
      </c>
      <c r="D255" s="91" t="s">
        <v>1</v>
      </c>
      <c r="E255" s="4" t="s">
        <v>4</v>
      </c>
      <c r="F255" s="4" t="s">
        <v>18</v>
      </c>
      <c r="G255" s="4" t="s">
        <v>19</v>
      </c>
      <c r="H255" s="4" t="s">
        <v>44</v>
      </c>
      <c r="I255" s="4" t="s">
        <v>20</v>
      </c>
      <c r="J255" s="4" t="s">
        <v>21</v>
      </c>
    </row>
    <row r="256" spans="2:12" x14ac:dyDescent="0.25">
      <c r="B256" s="41"/>
      <c r="C256" s="42">
        <v>1</v>
      </c>
      <c r="D256" s="7" t="s">
        <v>163</v>
      </c>
      <c r="E256" s="146">
        <v>145438</v>
      </c>
      <c r="F256" s="146">
        <v>0</v>
      </c>
      <c r="G256" s="146">
        <v>0</v>
      </c>
      <c r="H256" s="146">
        <v>0</v>
      </c>
      <c r="I256" s="105"/>
      <c r="J256" s="92">
        <f t="shared" ref="J256:J273" si="111">SUM(E256:G256)-H256</f>
        <v>145438</v>
      </c>
      <c r="K256" s="149">
        <f>142623.75-J256</f>
        <v>-2814.25</v>
      </c>
      <c r="L256" s="1" t="s">
        <v>94</v>
      </c>
    </row>
    <row r="257" spans="2:12" x14ac:dyDescent="0.25">
      <c r="B257" s="41"/>
      <c r="C257" s="42">
        <v>2</v>
      </c>
      <c r="D257" s="7" t="s">
        <v>164</v>
      </c>
      <c r="E257" s="146">
        <v>0</v>
      </c>
      <c r="F257" s="146">
        <f>20000+1500+5000+3000+950+1600+7500+3000+2400+1800+150</f>
        <v>46900</v>
      </c>
      <c r="G257" s="146">
        <v>0</v>
      </c>
      <c r="H257" s="146">
        <v>0</v>
      </c>
      <c r="I257" s="105"/>
      <c r="J257" s="92">
        <f t="shared" si="111"/>
        <v>46900</v>
      </c>
    </row>
    <row r="258" spans="2:12" x14ac:dyDescent="0.25">
      <c r="B258" s="41"/>
      <c r="C258" s="42">
        <v>3</v>
      </c>
      <c r="D258" s="7" t="s">
        <v>59</v>
      </c>
      <c r="E258" s="146">
        <v>0</v>
      </c>
      <c r="F258" s="146">
        <v>0</v>
      </c>
      <c r="G258" s="146">
        <f>432000+63519+4481</f>
        <v>500000</v>
      </c>
      <c r="H258" s="146">
        <v>0</v>
      </c>
      <c r="I258" s="105"/>
      <c r="J258" s="92">
        <f>SUM(E258:G258)-H258</f>
        <v>500000</v>
      </c>
    </row>
    <row r="259" spans="2:12" x14ac:dyDescent="0.25">
      <c r="B259" s="41"/>
      <c r="C259" s="42">
        <v>4</v>
      </c>
      <c r="D259" s="7" t="s">
        <v>188</v>
      </c>
      <c r="E259" s="146">
        <v>0</v>
      </c>
      <c r="F259" s="146">
        <v>0</v>
      </c>
      <c r="G259" s="146">
        <v>33180.550000000003</v>
      </c>
      <c r="H259" s="146">
        <v>0</v>
      </c>
      <c r="I259" s="105"/>
      <c r="J259" s="92">
        <f>SUM(E259:G259)-H259</f>
        <v>33180.550000000003</v>
      </c>
    </row>
    <row r="260" spans="2:12" x14ac:dyDescent="0.25">
      <c r="B260" s="41"/>
      <c r="C260" s="42">
        <v>5</v>
      </c>
      <c r="D260" s="7" t="s">
        <v>168</v>
      </c>
      <c r="E260" s="146">
        <v>0</v>
      </c>
      <c r="F260" s="146">
        <f>19800+1875</f>
        <v>21675</v>
      </c>
      <c r="G260" s="146">
        <v>0</v>
      </c>
      <c r="H260" s="146">
        <v>0</v>
      </c>
      <c r="I260" s="105"/>
      <c r="J260" s="92">
        <f>SUM(E260:G260)-H260</f>
        <v>21675</v>
      </c>
    </row>
    <row r="261" spans="2:12" x14ac:dyDescent="0.25">
      <c r="B261" s="41"/>
      <c r="C261" s="42">
        <v>6</v>
      </c>
      <c r="D261" s="7" t="s">
        <v>170</v>
      </c>
      <c r="E261" s="146">
        <v>3013.76</v>
      </c>
      <c r="F261" s="146">
        <f>76230+20790+300</f>
        <v>97320</v>
      </c>
      <c r="G261" s="146">
        <v>0</v>
      </c>
      <c r="H261" s="146">
        <f>52150+1627.92</f>
        <v>53777.919999999998</v>
      </c>
      <c r="I261" s="105" t="s">
        <v>171</v>
      </c>
      <c r="J261" s="92">
        <f>SUM(E261:G261)-H261</f>
        <v>46555.839999999997</v>
      </c>
    </row>
    <row r="262" spans="2:12" x14ac:dyDescent="0.25">
      <c r="B262" s="41"/>
      <c r="C262" s="42">
        <v>7</v>
      </c>
      <c r="D262" s="7" t="s">
        <v>165</v>
      </c>
      <c r="E262" s="146">
        <f>76511-2600</f>
        <v>73911</v>
      </c>
      <c r="F262" s="146">
        <f>2000+600</f>
        <v>2600</v>
      </c>
      <c r="G262" s="146">
        <v>0</v>
      </c>
      <c r="H262" s="146">
        <v>0</v>
      </c>
      <c r="I262" s="105"/>
      <c r="J262" s="92">
        <f t="shared" si="111"/>
        <v>76511</v>
      </c>
      <c r="K262" s="149">
        <f>76544.4-J262</f>
        <v>33.399999999994179</v>
      </c>
      <c r="L262" s="1" t="s">
        <v>94</v>
      </c>
    </row>
    <row r="263" spans="2:12" x14ac:dyDescent="0.25">
      <c r="B263" s="41"/>
      <c r="C263" s="42">
        <v>8</v>
      </c>
      <c r="D263" s="7" t="s">
        <v>166</v>
      </c>
      <c r="E263" s="146">
        <f>3294+772+26581+5343</f>
        <v>35990</v>
      </c>
      <c r="F263" s="146">
        <v>0</v>
      </c>
      <c r="G263" s="146">
        <v>0</v>
      </c>
      <c r="H263" s="146">
        <v>0</v>
      </c>
      <c r="I263" s="105"/>
      <c r="J263" s="92">
        <f t="shared" ref="J263:J264" si="112">SUM(E263:G263)-H263</f>
        <v>35990</v>
      </c>
    </row>
    <row r="264" spans="2:12" x14ac:dyDescent="0.25">
      <c r="B264" s="41"/>
      <c r="C264" s="42">
        <v>9</v>
      </c>
      <c r="D264" s="7" t="s">
        <v>167</v>
      </c>
      <c r="E264" s="146">
        <v>50571.01</v>
      </c>
      <c r="F264" s="146">
        <f>32427+4800</f>
        <v>37227</v>
      </c>
      <c r="G264" s="146">
        <v>0</v>
      </c>
      <c r="H264" s="146">
        <v>0</v>
      </c>
      <c r="I264" s="105"/>
      <c r="J264" s="92">
        <f t="shared" si="112"/>
        <v>87798.010000000009</v>
      </c>
    </row>
    <row r="265" spans="2:12" x14ac:dyDescent="0.25">
      <c r="B265" s="41"/>
      <c r="C265" s="42">
        <v>10</v>
      </c>
      <c r="D265" s="7" t="s">
        <v>169</v>
      </c>
      <c r="E265" s="146">
        <f>25255+31871+11313.44+13824+9600</f>
        <v>91863.44</v>
      </c>
      <c r="F265" s="146">
        <f>2350+6975+6022.4</f>
        <v>15347.4</v>
      </c>
      <c r="G265" s="146">
        <v>0</v>
      </c>
      <c r="H265" s="146">
        <v>0</v>
      </c>
      <c r="I265" s="105"/>
      <c r="J265" s="92">
        <f t="shared" si="111"/>
        <v>107210.84</v>
      </c>
    </row>
    <row r="266" spans="2:12" x14ac:dyDescent="0.25">
      <c r="B266" s="41"/>
      <c r="C266" s="42">
        <v>11</v>
      </c>
      <c r="D266" s="7" t="s">
        <v>172</v>
      </c>
      <c r="E266" s="146">
        <v>0</v>
      </c>
      <c r="F266" s="146">
        <v>10921.35</v>
      </c>
      <c r="G266" s="146">
        <v>0</v>
      </c>
      <c r="H266" s="146">
        <v>0</v>
      </c>
      <c r="I266" s="105"/>
      <c r="J266" s="92">
        <f t="shared" si="111"/>
        <v>10921.35</v>
      </c>
    </row>
    <row r="267" spans="2:12" x14ac:dyDescent="0.25">
      <c r="B267" s="41"/>
      <c r="C267" s="42">
        <v>12</v>
      </c>
      <c r="D267" s="7" t="s">
        <v>173</v>
      </c>
      <c r="E267" s="146">
        <v>0</v>
      </c>
      <c r="F267" s="146">
        <v>7885</v>
      </c>
      <c r="G267" s="146">
        <v>0</v>
      </c>
      <c r="H267" s="146">
        <v>0</v>
      </c>
      <c r="I267" s="105"/>
      <c r="J267" s="92">
        <f t="shared" si="111"/>
        <v>7885</v>
      </c>
    </row>
    <row r="268" spans="2:12" x14ac:dyDescent="0.25">
      <c r="B268" s="41"/>
      <c r="C268" s="42">
        <v>13</v>
      </c>
      <c r="D268" s="7" t="s">
        <v>174</v>
      </c>
      <c r="E268" s="146">
        <v>10889</v>
      </c>
      <c r="F268" s="146">
        <v>0</v>
      </c>
      <c r="G268" s="146">
        <v>0</v>
      </c>
      <c r="H268" s="146">
        <v>0</v>
      </c>
      <c r="I268" s="105"/>
      <c r="J268" s="92">
        <f t="shared" si="111"/>
        <v>10889</v>
      </c>
    </row>
    <row r="269" spans="2:12" x14ac:dyDescent="0.25">
      <c r="B269" s="41"/>
      <c r="C269" s="42">
        <v>14</v>
      </c>
      <c r="D269" s="7" t="s">
        <v>175</v>
      </c>
      <c r="E269" s="146">
        <v>0</v>
      </c>
      <c r="F269" s="146">
        <v>10200</v>
      </c>
      <c r="G269" s="146">
        <v>0</v>
      </c>
      <c r="H269" s="146">
        <v>0</v>
      </c>
      <c r="I269" s="105"/>
      <c r="J269" s="92">
        <f t="shared" si="111"/>
        <v>10200</v>
      </c>
    </row>
    <row r="270" spans="2:12" x14ac:dyDescent="0.25">
      <c r="B270" s="41"/>
      <c r="C270" s="42">
        <v>15</v>
      </c>
      <c r="D270" s="7" t="s">
        <v>176</v>
      </c>
      <c r="E270" s="146">
        <v>0</v>
      </c>
      <c r="F270" s="146">
        <v>0</v>
      </c>
      <c r="G270" s="146">
        <v>5758.33</v>
      </c>
      <c r="H270" s="146">
        <v>0</v>
      </c>
      <c r="I270" s="105"/>
      <c r="J270" s="92">
        <f t="shared" si="111"/>
        <v>5758.33</v>
      </c>
    </row>
    <row r="271" spans="2:12" x14ac:dyDescent="0.25">
      <c r="B271" s="41"/>
      <c r="C271" s="42">
        <v>16</v>
      </c>
      <c r="D271" s="7" t="s">
        <v>177</v>
      </c>
      <c r="E271" s="146">
        <v>0</v>
      </c>
      <c r="F271" s="146">
        <v>3000</v>
      </c>
      <c r="G271" s="146">
        <v>0</v>
      </c>
      <c r="H271" s="146">
        <v>0</v>
      </c>
      <c r="I271" s="105"/>
      <c r="J271" s="92">
        <f t="shared" ref="J271" si="113">SUM(E271:G271)-H271</f>
        <v>3000</v>
      </c>
    </row>
    <row r="272" spans="2:12" x14ac:dyDescent="0.25">
      <c r="B272" s="41"/>
      <c r="C272" s="42"/>
      <c r="D272" s="7"/>
      <c r="E272" s="146">
        <v>0</v>
      </c>
      <c r="F272" s="146">
        <v>0</v>
      </c>
      <c r="G272" s="146">
        <v>0</v>
      </c>
      <c r="H272" s="146">
        <v>0</v>
      </c>
      <c r="I272" s="105"/>
      <c r="J272" s="92">
        <f t="shared" si="111"/>
        <v>0</v>
      </c>
    </row>
    <row r="273" spans="2:10" x14ac:dyDescent="0.25">
      <c r="B273" s="46"/>
      <c r="C273" s="47"/>
      <c r="D273" s="7"/>
      <c r="E273" s="146">
        <v>0</v>
      </c>
      <c r="F273" s="146">
        <v>0</v>
      </c>
      <c r="G273" s="146">
        <v>0</v>
      </c>
      <c r="H273" s="146">
        <v>0</v>
      </c>
      <c r="I273" s="105"/>
      <c r="J273" s="92">
        <f t="shared" si="111"/>
        <v>0</v>
      </c>
    </row>
    <row r="274" spans="2:10" x14ac:dyDescent="0.25">
      <c r="B274" s="43"/>
      <c r="C274" s="44"/>
      <c r="D274" s="45" t="s">
        <v>22</v>
      </c>
      <c r="E274" s="92">
        <f>SUM(E256:E273)</f>
        <v>411676.21</v>
      </c>
      <c r="F274" s="92">
        <f>SUM(F256:F273)</f>
        <v>253075.75</v>
      </c>
      <c r="G274" s="92">
        <f>SUM(G256:G273)</f>
        <v>538938.88</v>
      </c>
      <c r="H274" s="92">
        <f>SUM(H256:H273)</f>
        <v>53777.919999999998</v>
      </c>
      <c r="I274" s="92">
        <f>SUM(I256:I273)</f>
        <v>0</v>
      </c>
      <c r="J274" s="92">
        <f>SUM(J256:J273)</f>
        <v>1149912.9200000002</v>
      </c>
    </row>
    <row r="275" spans="2:10" s="5" customFormat="1" x14ac:dyDescent="0.25">
      <c r="B275" s="65"/>
      <c r="C275" s="66"/>
      <c r="D275" s="125" t="s">
        <v>33</v>
      </c>
      <c r="E275" s="67">
        <f>+E274</f>
        <v>411676.21</v>
      </c>
      <c r="F275" s="67">
        <f t="shared" ref="F275:J275" si="114">+F274</f>
        <v>253075.75</v>
      </c>
      <c r="G275" s="67">
        <f t="shared" si="114"/>
        <v>538938.88</v>
      </c>
      <c r="H275" s="67">
        <f t="shared" ref="H275" si="115">+H274</f>
        <v>53777.919999999998</v>
      </c>
      <c r="I275" s="67"/>
      <c r="J275" s="67">
        <f t="shared" si="114"/>
        <v>1149912.9200000002</v>
      </c>
    </row>
    <row r="277" spans="2:10" x14ac:dyDescent="0.25">
      <c r="B277" s="198" t="s">
        <v>46</v>
      </c>
      <c r="C277" s="198"/>
      <c r="D277" s="199"/>
      <c r="E277" s="70">
        <f>E275+E210+E195+E178+E252+E150+E227</f>
        <v>1436866.4475</v>
      </c>
      <c r="F277" s="70">
        <f>F275+F210+F195+F178+F252+F150+F227</f>
        <v>1164584.75</v>
      </c>
      <c r="G277" s="70">
        <f>G275+G210+G195+G178+G252+G150+G227</f>
        <v>1731563.88</v>
      </c>
      <c r="H277" s="70">
        <f>H275+H210+H195+H178+H252+H150+H227</f>
        <v>53777.919999999998</v>
      </c>
      <c r="J277" s="70">
        <f>J275+J210+J195+J178+J252+J150+J227</f>
        <v>4279237.1575000007</v>
      </c>
    </row>
    <row r="285" spans="2:10" x14ac:dyDescent="0.25">
      <c r="F285" s="71"/>
    </row>
  </sheetData>
  <mergeCells count="20">
    <mergeCell ref="B277:D277"/>
    <mergeCell ref="B254:D254"/>
    <mergeCell ref="B218:D218"/>
    <mergeCell ref="B229:D229"/>
    <mergeCell ref="B1:J1"/>
    <mergeCell ref="B2:J2"/>
    <mergeCell ref="B137:J137"/>
    <mergeCell ref="B94:D94"/>
    <mergeCell ref="B201:D201"/>
    <mergeCell ref="B166:D166"/>
    <mergeCell ref="B180:D180"/>
    <mergeCell ref="B36:D36"/>
    <mergeCell ref="B47:D47"/>
    <mergeCell ref="B26:D26"/>
    <mergeCell ref="B14:D14"/>
    <mergeCell ref="B108:D108"/>
    <mergeCell ref="B62:D62"/>
    <mergeCell ref="B138:D138"/>
    <mergeCell ref="B74:D74"/>
    <mergeCell ref="B152:D152"/>
  </mergeCells>
  <printOptions horizontalCentered="1"/>
  <pageMargins left="0.5" right="0.25" top="0.5" bottom="0.5" header="0.25" footer="0.25"/>
  <pageSetup paperSize="5" scale="69" fitToHeight="0" orientation="landscape" r:id="rId1"/>
  <rowBreaks count="5" manualBreakCount="5">
    <brk id="60" max="16383" man="1"/>
    <brk id="135" max="16383" man="1"/>
    <brk id="200" min="1" max="9" man="1"/>
    <brk id="227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Empey</dc:creator>
  <cp:lastModifiedBy>Empey, Nathan</cp:lastModifiedBy>
  <cp:lastPrinted>2020-12-21T16:42:35Z</cp:lastPrinted>
  <dcterms:created xsi:type="dcterms:W3CDTF">2016-12-27T18:32:38Z</dcterms:created>
  <dcterms:modified xsi:type="dcterms:W3CDTF">2021-03-29T15:32:13Z</dcterms:modified>
</cp:coreProperties>
</file>